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ccounting\_Treasury\Jeff\APC Calculator\"/>
    </mc:Choice>
  </mc:AlternateContent>
  <xr:revisionPtr revIDLastSave="0" documentId="13_ncr:1_{23A961FB-FDC3-40E2-B3BB-DE791053EA95}" xr6:coauthVersionLast="45" xr6:coauthVersionMax="45" xr10:uidLastSave="{00000000-0000-0000-0000-000000000000}"/>
  <workbookProtection workbookAlgorithmName="SHA-512" workbookHashValue="nNWHun0HLEY9+B8WObtjqcsqyM34gL17+0+fGf5YV7igYXGI8SiEQpcXA7NWe0KN8d4/lfT87YD6V11Rau0Z5w==" workbookSaltValue="c7JavCgc26lWYLOln7HI+Q==" workbookSpinCount="100000" lockStructure="1"/>
  <bookViews>
    <workbookView xWindow="-108" yWindow="-108" windowWidth="23256" windowHeight="12720" xr2:uid="{405DCB72-77FC-437E-9D30-34A4D773E65B}"/>
  </bookViews>
  <sheets>
    <sheet name="Questions" sheetId="3" r:id="rId1"/>
    <sheet name="Presentation - Total Cost" sheetId="5" state="hidden" r:id="rId2"/>
    <sheet name="Presentation" sheetId="6" r:id="rId3"/>
    <sheet name="Calc" sheetId="1" state="hidden" r:id="rId4"/>
    <sheet name="Price Matrix" sheetId="2" state="hidden" r:id="rId5"/>
  </sheets>
  <definedNames>
    <definedName name="_xlnm.Print_Area" localSheetId="2">Presentation!$B$1:$H$64</definedName>
    <definedName name="_xlnm.Print_Area" localSheetId="1">'Presentation - Total Cost'!$A$1:$F$60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4" i="2"/>
  <c r="F18" i="6" l="1"/>
  <c r="B10" i="5" l="1"/>
  <c r="B10" i="6"/>
  <c r="F23" i="6" l="1"/>
  <c r="C31" i="6"/>
  <c r="B23" i="6"/>
  <c r="B20" i="6"/>
  <c r="B19" i="6"/>
  <c r="B17" i="6"/>
  <c r="B16" i="6"/>
  <c r="B15" i="6"/>
  <c r="B8" i="6"/>
  <c r="B7" i="6"/>
  <c r="C4" i="1" l="1"/>
  <c r="B7" i="5"/>
  <c r="D21" i="5"/>
  <c r="B21" i="5"/>
  <c r="B19" i="5"/>
  <c r="D19" i="1"/>
  <c r="B18" i="5"/>
  <c r="B16" i="5"/>
  <c r="B15" i="5"/>
  <c r="B14" i="5"/>
  <c r="B8" i="5"/>
  <c r="C3" i="1" l="1"/>
  <c r="D30" i="6" l="1"/>
  <c r="D22" i="6"/>
  <c r="D20" i="6"/>
  <c r="D16" i="1"/>
  <c r="D19" i="6" s="1"/>
  <c r="D10" i="1"/>
  <c r="C13" i="1" l="1"/>
  <c r="D13" i="1"/>
  <c r="D21" i="6" s="1"/>
  <c r="D9" i="1"/>
  <c r="E14" i="1"/>
  <c r="C5" i="1"/>
  <c r="E20" i="6" s="1"/>
  <c r="D11" i="1"/>
  <c r="E10" i="1"/>
  <c r="C18" i="6" s="1"/>
  <c r="E21" i="6" l="1"/>
  <c r="E19" i="6"/>
  <c r="E30" i="6"/>
  <c r="B33" i="6"/>
  <c r="B11" i="5"/>
  <c r="B11" i="6"/>
  <c r="E22" i="6"/>
  <c r="D24" i="6"/>
  <c r="C17" i="5"/>
  <c r="D17" i="5" s="1"/>
  <c r="E19" i="1"/>
  <c r="C19" i="5" s="1"/>
  <c r="B31" i="5"/>
  <c r="C28" i="5"/>
  <c r="D31" i="1"/>
  <c r="D30" i="1"/>
  <c r="D33" i="1"/>
  <c r="D32" i="1"/>
  <c r="E17" i="1"/>
  <c r="E18" i="1"/>
  <c r="E16" i="1"/>
  <c r="C18" i="5" s="1"/>
  <c r="E13" i="1"/>
  <c r="C2" i="1"/>
  <c r="D12" i="1" s="1"/>
  <c r="E15" i="1"/>
  <c r="E11" i="1"/>
  <c r="E9" i="1"/>
  <c r="C17" i="6" l="1"/>
  <c r="E17" i="6" s="1"/>
  <c r="C16" i="5"/>
  <c r="C16" i="6"/>
  <c r="E16" i="6" s="1"/>
  <c r="C15" i="5"/>
  <c r="E18" i="6"/>
  <c r="C14" i="5"/>
  <c r="C15" i="6"/>
  <c r="E15" i="6" s="1"/>
  <c r="C20" i="5"/>
  <c r="G20" i="1"/>
  <c r="C27" i="5" l="1"/>
  <c r="C29" i="5" s="1"/>
  <c r="C30" i="5" s="1"/>
  <c r="D29" i="6"/>
  <c r="G22" i="1"/>
  <c r="G23" i="1" s="1"/>
  <c r="E12" i="1"/>
  <c r="C23" i="6" s="1"/>
  <c r="E23" i="6" s="1"/>
  <c r="E24" i="6" l="1"/>
  <c r="C24" i="6"/>
  <c r="D31" i="6"/>
  <c r="E29" i="6"/>
  <c r="E31" i="6" s="1"/>
  <c r="C21" i="5"/>
  <c r="C22" i="5" s="1"/>
  <c r="D29" i="1"/>
  <c r="F29" i="1" s="1"/>
  <c r="F30" i="1" s="1"/>
  <c r="F31" i="1" s="1"/>
  <c r="F32" i="1" s="1"/>
  <c r="F33" i="1" s="1"/>
  <c r="E32" i="1"/>
  <c r="E31" i="1"/>
  <c r="E29" i="1"/>
  <c r="G29" i="1" s="1"/>
  <c r="E30" i="1"/>
  <c r="E33" i="1"/>
  <c r="E22" i="1"/>
  <c r="E33" i="6" l="1"/>
  <c r="E34" i="6" s="1"/>
  <c r="C31" i="5"/>
  <c r="C23" i="5"/>
  <c r="G30" i="1"/>
  <c r="G31" i="1" s="1"/>
  <c r="G32" i="1" s="1"/>
  <c r="G33" i="1" s="1"/>
  <c r="E23" i="1"/>
</calcChain>
</file>

<file path=xl/sharedStrings.xml><?xml version="1.0" encoding="utf-8"?>
<sst xmlns="http://schemas.openxmlformats.org/spreadsheetml/2006/main" count="205" uniqueCount="140">
  <si>
    <t>Server</t>
  </si>
  <si>
    <t>Firewall</t>
  </si>
  <si>
    <t>Standard</t>
  </si>
  <si>
    <t>Power</t>
  </si>
  <si>
    <t>MS Office Suite</t>
  </si>
  <si>
    <t>APC</t>
  </si>
  <si>
    <t>Mo APC Cost</t>
  </si>
  <si>
    <t>TCO</t>
  </si>
  <si>
    <t>Floor Price</t>
  </si>
  <si>
    <t>Allowable Discount</t>
  </si>
  <si>
    <t>List Price</t>
  </si>
  <si>
    <r>
      <t>New APC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</si>
  <si>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NA</t>
  </si>
  <si>
    <t>Flex</t>
  </si>
  <si>
    <t>Collaborative</t>
  </si>
  <si>
    <r>
      <t>Renew APC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</si>
  <si>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APC Bundle Pricing</t>
  </si>
  <si>
    <t>AbacusLaw</t>
  </si>
  <si>
    <t>Amicus Attorney</t>
  </si>
  <si>
    <t>OfficeTools</t>
  </si>
  <si>
    <t>HotDocs</t>
  </si>
  <si>
    <t>5 User "Starter Pack"</t>
  </si>
  <si>
    <t>6-250 Users</t>
  </si>
  <si>
    <t>250+ Users</t>
  </si>
  <si>
    <t>Deal Desk</t>
  </si>
  <si>
    <t>On-Prem Software</t>
  </si>
  <si>
    <r>
      <t>AbacusLaw BDL User</t>
    </r>
    <r>
      <rPr>
        <vertAlign val="superscript"/>
        <sz val="11"/>
        <color theme="1"/>
        <rFont val="Calibri"/>
        <family val="2"/>
        <scheme val="minor"/>
      </rPr>
      <t>(2)</t>
    </r>
  </si>
  <si>
    <t>AbacusLaw BDL User Flex</t>
  </si>
  <si>
    <r>
      <t>Amicus Attorney BDL User</t>
    </r>
    <r>
      <rPr>
        <vertAlign val="superscript"/>
        <sz val="11"/>
        <color theme="1"/>
        <rFont val="Calibri"/>
        <family val="2"/>
        <scheme val="minor"/>
      </rPr>
      <t>(3)</t>
    </r>
  </si>
  <si>
    <t>Amicus Attorney BDL User Flex</t>
  </si>
  <si>
    <t>Amicus Attorney NB BDL User</t>
  </si>
  <si>
    <t>Amicus Attorney NB BDL User Flex</t>
  </si>
  <si>
    <r>
      <t>OfficeTools BDL User</t>
    </r>
    <r>
      <rPr>
        <vertAlign val="superscript"/>
        <sz val="11"/>
        <color theme="1"/>
        <rFont val="Calibri"/>
        <family val="2"/>
        <scheme val="minor"/>
      </rPr>
      <t>(4)</t>
    </r>
  </si>
  <si>
    <t>OfficeTools BDL User Flex</t>
  </si>
  <si>
    <t>OfficeTools Client Portal 35GB</t>
  </si>
  <si>
    <t>(1) For APC only, includes Microsoft Office E3</t>
  </si>
  <si>
    <t>(2) AbacusLaw includes DB Secure, Document Management, 1-PAL Form Rule per User</t>
  </si>
  <si>
    <t>(3) Amicus Attorney includes all integrations and 1 Rule per User</t>
  </si>
  <si>
    <t>(4) OfficeTools includes all integrations and 15GB</t>
  </si>
  <si>
    <t>User Type</t>
  </si>
  <si>
    <t>Term (Yrs)</t>
  </si>
  <si>
    <t>What is your area of practice?</t>
  </si>
  <si>
    <t>$20/mo per user</t>
  </si>
  <si>
    <t>Term (Mo)</t>
  </si>
  <si>
    <t>$750-1500 one time, includes remote access</t>
  </si>
  <si>
    <t>PC's are required to be more robust for on prem vs cloud.  $1200 vs $700</t>
  </si>
  <si>
    <t>Internal Cost</t>
  </si>
  <si>
    <t>How many users do you have in the practice?</t>
  </si>
  <si>
    <t>Local Security (yr)</t>
  </si>
  <si>
    <t>16 hours - at $200/hr</t>
  </si>
  <si>
    <t>Per Month</t>
  </si>
  <si>
    <t>SQL Server License</t>
  </si>
  <si>
    <t>Upgraded PC's (Add'l Cost)</t>
  </si>
  <si>
    <t>Required for Accounting firms, less popular with Legal.  Perpetual License</t>
  </si>
  <si>
    <t>500GB - $100/mo; if more than 10 users, assumes 1.5TB/month.  Low end "Carbonite" type solution</t>
  </si>
  <si>
    <t>Per Unit/Month Cost</t>
  </si>
  <si>
    <t>Electricity &amp; Cooling</t>
  </si>
  <si>
    <t>Comments</t>
  </si>
  <si>
    <t>Years</t>
  </si>
  <si>
    <t>All</t>
  </si>
  <si>
    <t>On Prem</t>
  </si>
  <si>
    <t>Year</t>
  </si>
  <si>
    <t>Users</t>
  </si>
  <si>
    <t>No</t>
  </si>
  <si>
    <t>$50/PC, $150/server, and onsite work for 4 hrs per month at $200/hr = $1,550 reccomended</t>
  </si>
  <si>
    <t>30 min outage per month, per user, can go up to 1 hr</t>
  </si>
  <si>
    <t>Up to 10 users, single server is $5k-$7.5k;  10+ users, server is $15k, includes licensing costs</t>
  </si>
  <si>
    <t>Cloud Laptop</t>
  </si>
  <si>
    <t>10th Generation Intel® Core™ i5-1035G1 Processor</t>
  </si>
  <si>
    <t>Windows 10 Pro 64-bit English</t>
  </si>
  <si>
    <t>8 GB, 1 x 8 GB, DDR4, 2666 MHz</t>
  </si>
  <si>
    <t>256GB M.2 PCIe NVMe Solid State Drive</t>
  </si>
  <si>
    <t>15.6-in. display</t>
  </si>
  <si>
    <t>Starting at 4.03 lbs</t>
  </si>
  <si>
    <t>Total $549.00</t>
  </si>
  <si>
    <t>Business Class</t>
  </si>
  <si>
    <t>9th Generation Intel® Core i7-9850H Processor</t>
  </si>
  <si>
    <t>Windows 10 Pro 64bit English</t>
  </si>
  <si>
    <t>8GB, 1x8GB, DDR4 Non-ECC</t>
  </si>
  <si>
    <t>M.2 256GB PCIe NVMe Class 35 Solid State Drive</t>
  </si>
  <si>
    <t>Total $1,729.00</t>
  </si>
  <si>
    <t>Per TJ - 5/19/20</t>
  </si>
  <si>
    <t>Client Name</t>
  </si>
  <si>
    <t>Cost Comparison of On Premise (Local) Setup vs Abacus Private Cloud</t>
  </si>
  <si>
    <t>Date</t>
  </si>
  <si>
    <t>Component</t>
  </si>
  <si>
    <t>Do you have Business Class PC's today adequte for On Premises Use?</t>
  </si>
  <si>
    <t>Server Installation</t>
  </si>
  <si>
    <t>Monthly IT Maintenance</t>
  </si>
  <si>
    <t>Monthly Cost</t>
  </si>
  <si>
    <t>Per PC, Per Server, and Onsite hours</t>
  </si>
  <si>
    <t>System Outage &amp; Downtime</t>
  </si>
  <si>
    <t>Required with each new server installation</t>
  </si>
  <si>
    <t>3-5 Year useful life before replacement required</t>
  </si>
  <si>
    <t>Est Total Cost</t>
  </si>
  <si>
    <t>Security, Backup, MS Office, Electricity</t>
  </si>
  <si>
    <t>Antivirus, MFA, Data Backup, etc… recurring charges</t>
  </si>
  <si>
    <t>Total Estimated Cost of Ownership</t>
  </si>
  <si>
    <t>Upgrade Current PC's</t>
  </si>
  <si>
    <t>Abacus Private Cloud</t>
  </si>
  <si>
    <t>MS Office</t>
  </si>
  <si>
    <t xml:space="preserve">Abacus Data Systems, Inc.    </t>
  </si>
  <si>
    <t>4850 Eastgate Mall, San Diego, CA 92121    Ph: 800-726-3339   abacusnext.com</t>
  </si>
  <si>
    <t>The equivalent system in an Abacus Private Cloud arrangement would cost:</t>
  </si>
  <si>
    <t>MS Office Suite, $20 per user, per month</t>
  </si>
  <si>
    <t xml:space="preserve">Cumulative On Prem </t>
  </si>
  <si>
    <t>Cumulative APC</t>
  </si>
  <si>
    <t>Costs above for On Premises configuration are estimated and based on extensive research.  Your actual costs and specific needs may vary</t>
  </si>
  <si>
    <t>What is the time period for which you are seeking a solution?  (Years)</t>
  </si>
  <si>
    <t>How much do you pay for monthly IT Support today?</t>
  </si>
  <si>
    <t>One Time</t>
  </si>
  <si>
    <t>Monthly</t>
  </si>
  <si>
    <t>Total</t>
  </si>
  <si>
    <t>Security, Backup, &amp; Electricity</t>
  </si>
  <si>
    <t>Microsoft Office Suite</t>
  </si>
  <si>
    <t>Antivirus, Data Backup, Electricity for Server</t>
  </si>
  <si>
    <t>30 minutes per month</t>
  </si>
  <si>
    <t>Inclusive of all above</t>
  </si>
  <si>
    <t>In addition to significant cost savings, your Abacus Private Cloud subscription also includes the following:</t>
  </si>
  <si>
    <t>● 99.999% Uptime</t>
  </si>
  <si>
    <t>● Managed IT Support</t>
  </si>
  <si>
    <t>● Remote Access, Work Anywhere</t>
  </si>
  <si>
    <t>● Enterprise Level Security</t>
  </si>
  <si>
    <t>● ePHI and HIPPA Compliant</t>
  </si>
  <si>
    <t>● Multi Factor Authentication</t>
  </si>
  <si>
    <t>● Automated Backups</t>
  </si>
  <si>
    <t>● Geographic Redundancy</t>
  </si>
  <si>
    <t>● 256-bit AES data encryption</t>
  </si>
  <si>
    <t>Annual Fee - Anti Virus, malware, etc…</t>
  </si>
  <si>
    <t>Alvarez, Dayne &amp; Sorgi, LLC</t>
  </si>
  <si>
    <t>Abacus Private Cloud drives significant savings</t>
  </si>
  <si>
    <t xml:space="preserve"> Abacus Private Cloud drives significant cost savings</t>
  </si>
  <si>
    <t>Law</t>
  </si>
  <si>
    <t>On Premise Cost</t>
  </si>
  <si>
    <t xml:space="preserve">Abacus Private Cloud </t>
  </si>
  <si>
    <t>What is your firm's average hourly bill rate per user?</t>
  </si>
  <si>
    <t>(On Prem requires minimum of Intel Core i7 or better, Cloud requires Intel i5 or better)</t>
  </si>
  <si>
    <t>Costs above for On Premises configuration are estimated, based on industry research, and include the minimum hardware &amp; software aspects needed to meet your business needs.  Your actual costs and specific needs may vary</t>
  </si>
  <si>
    <t>law - $229 - $20 = $209 on quosal/invoice - must buy $20 MSFT somewhere</t>
  </si>
  <si>
    <t>acct - $279 - $20 = $259 on quosal/invoice - must buy $20 MSFT somewhere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</si>
</sst>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[$-409]mmmm\ d\,\ yyyy;@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i/>
      <sz val="9"/>
      <color theme="1"/>
      <name val="Lato"/>
      <family val="2"/>
    </font>
    <font>
      <b/>
      <i/>
      <sz val="11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4"/>
      <name val="Lato"/>
      <family val="2"/>
    </font>
    <font>
      <i/>
      <sz val="14"/>
      <name val="Lato"/>
      <family val="2"/>
    </font>
    <font>
      <i/>
      <sz val="12"/>
      <color theme="1"/>
      <name val="Lato"/>
      <family val="2"/>
    </font>
    <font>
      <sz val="11"/>
      <color theme="0" tint="-0.499984740745262"/>
      <name val="Lato"/>
      <family val="2"/>
    </font>
    <font>
      <sz val="11"/>
      <name val="Lato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C9E6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00">
    <xf numFmtId="0" fontId="0" fillId="0" borderId="0" xfId="0"/>
    <xf numFmtId="6" fontId="0" fillId="0" borderId="0" xfId="0" applyNumberForma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6" xfId="0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37" fontId="0" fillId="0" borderId="0" xfId="0" applyNumberFormat="1"/>
    <xf numFmtId="0" fontId="2" fillId="0" borderId="0" xfId="0" applyFont="1"/>
    <xf numFmtId="6" fontId="0" fillId="0" borderId="0" xfId="0" applyNumberFormat="1" applyBorder="1"/>
    <xf numFmtId="0" fontId="0" fillId="0" borderId="0" xfId="0" applyBorder="1"/>
    <xf numFmtId="6" fontId="0" fillId="0" borderId="0" xfId="0" applyNumberFormat="1" applyBorder="1" applyAlignment="1">
      <alignment horizontal="right"/>
    </xf>
    <xf numFmtId="0" fontId="2" fillId="0" borderId="6" xfId="0" applyFont="1" applyBorder="1"/>
    <xf numFmtId="6" fontId="0" fillId="0" borderId="7" xfId="0" applyNumberFormat="1" applyBorder="1"/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Border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12" xfId="0" applyNumberFormat="1" applyFont="1" applyBorder="1" applyAlignment="1">
      <alignment horizontal="center"/>
    </xf>
    <xf numFmtId="6" fontId="0" fillId="0" borderId="4" xfId="0" applyNumberFormat="1" applyBorder="1"/>
    <xf numFmtId="37" fontId="0" fillId="0" borderId="5" xfId="0" applyNumberFormat="1" applyBorder="1" applyAlignment="1">
      <alignment horizontal="center"/>
    </xf>
    <xf numFmtId="6" fontId="0" fillId="0" borderId="4" xfId="0" applyNumberFormat="1" applyBorder="1" applyAlignment="1">
      <alignment horizontal="right"/>
    </xf>
    <xf numFmtId="6" fontId="0" fillId="0" borderId="4" xfId="0" applyNumberFormat="1" applyFill="1" applyBorder="1"/>
    <xf numFmtId="37" fontId="0" fillId="0" borderId="5" xfId="0" applyNumberFormat="1" applyBorder="1"/>
    <xf numFmtId="37" fontId="0" fillId="0" borderId="8" xfId="0" applyNumberFormat="1" applyBorder="1"/>
    <xf numFmtId="0" fontId="2" fillId="0" borderId="9" xfId="0" applyFont="1" applyBorder="1"/>
    <xf numFmtId="0" fontId="0" fillId="0" borderId="14" xfId="0" applyBorder="1"/>
    <xf numFmtId="6" fontId="0" fillId="0" borderId="14" xfId="0" applyNumberFormat="1" applyBorder="1"/>
    <xf numFmtId="0" fontId="0" fillId="0" borderId="15" xfId="0" applyBorder="1"/>
    <xf numFmtId="6" fontId="0" fillId="0" borderId="16" xfId="0" applyNumberFormat="1" applyBorder="1"/>
    <xf numFmtId="0" fontId="2" fillId="0" borderId="0" xfId="0" applyFont="1" applyFill="1" applyAlignment="1">
      <alignment horizontal="center"/>
    </xf>
    <xf numFmtId="37" fontId="0" fillId="0" borderId="0" xfId="0" applyNumberFormat="1" applyFill="1"/>
    <xf numFmtId="6" fontId="0" fillId="0" borderId="14" xfId="0" applyNumberFormat="1" applyFill="1" applyBorder="1"/>
    <xf numFmtId="0" fontId="0" fillId="0" borderId="5" xfId="0" applyFill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Protection="1">
      <protection hidden="1"/>
    </xf>
    <xf numFmtId="165" fontId="0" fillId="0" borderId="0" xfId="0" applyNumberFormat="1" applyAlignment="1" applyProtection="1">
      <protection hidden="1"/>
    </xf>
    <xf numFmtId="0" fontId="2" fillId="2" borderId="24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0" fillId="0" borderId="4" xfId="0" applyBorder="1" applyProtection="1">
      <protection hidden="1"/>
    </xf>
    <xf numFmtId="6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6" fontId="0" fillId="0" borderId="0" xfId="0" applyNumberFormat="1" applyBorder="1" applyAlignment="1" applyProtection="1">
      <alignment horizontal="right"/>
      <protection hidden="1"/>
    </xf>
    <xf numFmtId="6" fontId="0" fillId="0" borderId="13" xfId="0" applyNumberFormat="1" applyBorder="1" applyProtection="1">
      <protection hidden="1"/>
    </xf>
    <xf numFmtId="0" fontId="2" fillId="0" borderId="4" xfId="0" applyFont="1" applyBorder="1" applyProtection="1">
      <protection hidden="1"/>
    </xf>
    <xf numFmtId="6" fontId="2" fillId="0" borderId="0" xfId="0" applyNumberFormat="1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6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8" xfId="0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9" fontId="10" fillId="0" borderId="0" xfId="0" applyNumberFormat="1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left" indent="2"/>
      <protection hidden="1"/>
    </xf>
    <xf numFmtId="0" fontId="11" fillId="0" borderId="4" xfId="0" applyFont="1" applyBorder="1" applyAlignment="1" applyProtection="1">
      <alignment horizontal="left" indent="2"/>
      <protection hidden="1"/>
    </xf>
    <xf numFmtId="0" fontId="11" fillId="0" borderId="6" xfId="0" applyFont="1" applyBorder="1" applyAlignment="1" applyProtection="1">
      <alignment horizontal="left" indent="2"/>
      <protection hidden="1"/>
    </xf>
    <xf numFmtId="0" fontId="11" fillId="0" borderId="7" xfId="0" applyFont="1" applyBorder="1" applyAlignment="1" applyProtection="1">
      <alignment horizontal="left" indent="2"/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165" fontId="8" fillId="0" borderId="0" xfId="0" applyNumberFormat="1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26" xfId="0" applyFont="1" applyFill="1" applyBorder="1"/>
    <xf numFmtId="0" fontId="15" fillId="0" borderId="18" xfId="0" applyFont="1" applyFill="1" applyBorder="1" applyAlignment="1" applyProtection="1">
      <alignment horizontal="center"/>
      <protection locked="0"/>
    </xf>
    <xf numFmtId="0" fontId="16" fillId="0" borderId="0" xfId="0" applyFont="1" applyFill="1"/>
    <xf numFmtId="14" fontId="15" fillId="0" borderId="18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Fill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6" fontId="15" fillId="0" borderId="18" xfId="0" applyNumberFormat="1" applyFont="1" applyFill="1" applyBorder="1" applyAlignment="1" applyProtection="1">
      <alignment horizontal="center"/>
      <protection locked="0"/>
    </xf>
    <xf numFmtId="6" fontId="15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 indent="1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Border="1" applyProtection="1">
      <protection hidden="1"/>
    </xf>
    <xf numFmtId="0" fontId="15" fillId="0" borderId="5" xfId="0" applyFont="1" applyBorder="1" applyProtection="1">
      <protection hidden="1"/>
    </xf>
    <xf numFmtId="0" fontId="15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165" fontId="19" fillId="0" borderId="0" xfId="0" applyNumberFormat="1" applyFont="1" applyAlignment="1" applyProtection="1">
      <alignment horizontal="left"/>
      <protection hidden="1"/>
    </xf>
    <xf numFmtId="165" fontId="15" fillId="0" borderId="0" xfId="0" applyNumberFormat="1" applyFont="1" applyAlignment="1" applyProtection="1">
      <protection hidden="1"/>
    </xf>
    <xf numFmtId="0" fontId="15" fillId="0" borderId="13" xfId="0" applyFont="1" applyBorder="1" applyProtection="1">
      <protection hidden="1"/>
    </xf>
    <xf numFmtId="0" fontId="16" fillId="0" borderId="20" xfId="0" applyFont="1" applyBorder="1" applyProtection="1">
      <protection hidden="1"/>
    </xf>
    <xf numFmtId="6" fontId="16" fillId="0" borderId="13" xfId="0" applyNumberFormat="1" applyFont="1" applyBorder="1" applyProtection="1">
      <protection hidden="1"/>
    </xf>
    <xf numFmtId="0" fontId="15" fillId="0" borderId="23" xfId="0" applyFont="1" applyBorder="1" applyProtection="1">
      <protection hidden="1"/>
    </xf>
    <xf numFmtId="0" fontId="15" fillId="2" borderId="0" xfId="0" applyFont="1" applyFill="1" applyProtection="1">
      <protection hidden="1"/>
    </xf>
    <xf numFmtId="0" fontId="21" fillId="0" borderId="4" xfId="0" applyFont="1" applyBorder="1" applyProtection="1">
      <protection hidden="1"/>
    </xf>
    <xf numFmtId="0" fontId="21" fillId="0" borderId="0" xfId="0" applyFont="1" applyBorder="1" applyProtection="1">
      <protection hidden="1"/>
    </xf>
    <xf numFmtId="6" fontId="21" fillId="0" borderId="13" xfId="0" applyNumberFormat="1" applyFont="1" applyBorder="1" applyProtection="1">
      <protection hidden="1"/>
    </xf>
    <xf numFmtId="0" fontId="21" fillId="0" borderId="13" xfId="0" applyFont="1" applyBorder="1" applyProtection="1">
      <protection hidden="1"/>
    </xf>
    <xf numFmtId="6" fontId="21" fillId="0" borderId="13" xfId="0" applyNumberFormat="1" applyFont="1" applyFill="1" applyBorder="1" applyProtection="1">
      <protection hidden="1"/>
    </xf>
    <xf numFmtId="0" fontId="19" fillId="2" borderId="24" xfId="0" applyFont="1" applyFill="1" applyBorder="1" applyProtection="1">
      <protection hidden="1"/>
    </xf>
    <xf numFmtId="0" fontId="19" fillId="2" borderId="17" xfId="0" applyFont="1" applyFill="1" applyBorder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2" fillId="0" borderId="4" xfId="0" applyFont="1" applyBorder="1" applyProtection="1">
      <protection hidden="1"/>
    </xf>
    <xf numFmtId="6" fontId="19" fillId="0" borderId="0" xfId="0" applyNumberFormat="1" applyFont="1" applyBorder="1" applyProtection="1">
      <protection hidden="1"/>
    </xf>
    <xf numFmtId="0" fontId="20" fillId="0" borderId="7" xfId="0" applyFont="1" applyBorder="1" applyProtection="1">
      <protection hidden="1"/>
    </xf>
    <xf numFmtId="6" fontId="23" fillId="4" borderId="0" xfId="0" applyNumberFormat="1" applyFont="1" applyFill="1" applyBorder="1" applyProtection="1">
      <protection hidden="1"/>
    </xf>
    <xf numFmtId="9" fontId="24" fillId="4" borderId="7" xfId="0" applyNumberFormat="1" applyFont="1" applyFill="1" applyBorder="1" applyProtection="1">
      <protection hidden="1"/>
    </xf>
    <xf numFmtId="9" fontId="25" fillId="0" borderId="0" xfId="0" applyNumberFormat="1" applyFont="1" applyBorder="1" applyProtection="1">
      <protection hidden="1"/>
    </xf>
    <xf numFmtId="0" fontId="21" fillId="0" borderId="5" xfId="0" applyFont="1" applyBorder="1" applyProtection="1">
      <protection hidden="1"/>
    </xf>
    <xf numFmtId="0" fontId="20" fillId="0" borderId="4" xfId="0" applyFont="1" applyBorder="1" applyProtection="1">
      <protection hidden="1"/>
    </xf>
    <xf numFmtId="6" fontId="20" fillId="0" borderId="0" xfId="0" applyNumberFormat="1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12" fillId="0" borderId="5" xfId="0" applyFont="1" applyBorder="1" applyProtection="1">
      <protection hidden="1"/>
    </xf>
    <xf numFmtId="6" fontId="20" fillId="0" borderId="0" xfId="0" applyNumberFormat="1" applyFont="1" applyFill="1" applyBorder="1" applyProtection="1">
      <protection hidden="1"/>
    </xf>
    <xf numFmtId="0" fontId="20" fillId="0" borderId="22" xfId="0" applyFont="1" applyBorder="1" applyProtection="1">
      <protection hidden="1"/>
    </xf>
    <xf numFmtId="0" fontId="20" fillId="0" borderId="19" xfId="0" applyFont="1" applyBorder="1" applyProtection="1">
      <protection hidden="1"/>
    </xf>
    <xf numFmtId="0" fontId="20" fillId="0" borderId="13" xfId="0" applyFont="1" applyBorder="1" applyProtection="1">
      <protection hidden="1"/>
    </xf>
    <xf numFmtId="6" fontId="20" fillId="0" borderId="13" xfId="0" applyNumberFormat="1" applyFont="1" applyBorder="1" applyProtection="1">
      <protection hidden="1"/>
    </xf>
    <xf numFmtId="0" fontId="20" fillId="0" borderId="4" xfId="0" applyFont="1" applyBorder="1" applyAlignment="1" applyProtection="1">
      <alignment horizontal="left" indent="2"/>
      <protection hidden="1"/>
    </xf>
    <xf numFmtId="0" fontId="20" fillId="0" borderId="0" xfId="0" applyFont="1" applyBorder="1" applyAlignment="1" applyProtection="1">
      <alignment horizontal="left" indent="2"/>
      <protection hidden="1"/>
    </xf>
    <xf numFmtId="0" fontId="20" fillId="0" borderId="5" xfId="0" applyFont="1" applyBorder="1" applyProtection="1">
      <protection hidden="1"/>
    </xf>
    <xf numFmtId="0" fontId="20" fillId="0" borderId="6" xfId="0" applyFont="1" applyBorder="1" applyAlignment="1" applyProtection="1">
      <alignment horizontal="left" indent="2"/>
      <protection hidden="1"/>
    </xf>
    <xf numFmtId="0" fontId="20" fillId="0" borderId="7" xfId="0" applyFont="1" applyBorder="1" applyAlignment="1" applyProtection="1">
      <alignment horizontal="left" indent="2"/>
      <protection hidden="1"/>
    </xf>
    <xf numFmtId="0" fontId="20" fillId="0" borderId="8" xfId="0" applyFont="1" applyBorder="1" applyProtection="1">
      <protection hidden="1"/>
    </xf>
    <xf numFmtId="0" fontId="0" fillId="0" borderId="0" xfId="0" applyFill="1" applyProtection="1">
      <protection hidden="1"/>
    </xf>
    <xf numFmtId="0" fontId="15" fillId="0" borderId="0" xfId="0" applyFont="1" applyFill="1" applyProtection="1">
      <protection hidden="1"/>
    </xf>
    <xf numFmtId="42" fontId="0" fillId="0" borderId="0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42" fontId="0" fillId="0" borderId="0" xfId="0" applyNumberFormat="1" applyBorder="1"/>
    <xf numFmtId="42" fontId="0" fillId="0" borderId="5" xfId="0" applyNumberFormat="1" applyBorder="1"/>
    <xf numFmtId="164" fontId="1" fillId="0" borderId="0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5" xfId="0" applyNumberFormat="1" applyBorder="1"/>
    <xf numFmtId="164" fontId="5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5" borderId="0" xfId="0" applyFill="1"/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25" xfId="0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4" fillId="3" borderId="22" xfId="0" applyFont="1" applyFill="1" applyBorder="1" applyAlignment="1" applyProtection="1">
      <alignment horizontal="left" vertical="center"/>
      <protection hidden="1"/>
    </xf>
    <xf numFmtId="0" fontId="14" fillId="3" borderId="6" xfId="0" applyFont="1" applyFill="1" applyBorder="1" applyAlignment="1" applyProtection="1">
      <alignment horizontal="left" vertical="center"/>
      <protection hidden="1"/>
    </xf>
    <xf numFmtId="6" fontId="14" fillId="3" borderId="19" xfId="0" applyNumberFormat="1" applyFont="1" applyFill="1" applyBorder="1" applyAlignment="1" applyProtection="1">
      <alignment horizontal="right" vertical="center"/>
      <protection hidden="1"/>
    </xf>
    <xf numFmtId="6" fontId="14" fillId="3" borderId="7" xfId="0" applyNumberFormat="1" applyFont="1" applyFill="1" applyBorder="1" applyAlignment="1" applyProtection="1">
      <alignment horizontal="right" vertical="center"/>
      <protection hidden="1"/>
    </xf>
    <xf numFmtId="0" fontId="14" fillId="3" borderId="19" xfId="0" applyFont="1" applyFill="1" applyBorder="1" applyAlignment="1" applyProtection="1">
      <alignment horizontal="left" vertical="center"/>
      <protection hidden="1"/>
    </xf>
    <xf numFmtId="0" fontId="14" fillId="3" borderId="23" xfId="0" applyFont="1" applyFill="1" applyBorder="1" applyAlignment="1" applyProtection="1">
      <alignment horizontal="left" vertical="center"/>
      <protection hidden="1"/>
    </xf>
    <xf numFmtId="0" fontId="14" fillId="3" borderId="7" xfId="0" applyFont="1" applyFill="1" applyBorder="1" applyAlignment="1" applyProtection="1">
      <alignment horizontal="left" vertical="center"/>
      <protection hidden="1"/>
    </xf>
    <xf numFmtId="0" fontId="14" fillId="3" borderId="8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horizontal="left" indent="4"/>
      <protection hidden="1"/>
    </xf>
    <xf numFmtId="0" fontId="19" fillId="2" borderId="17" xfId="0" applyFont="1" applyFill="1" applyBorder="1" applyAlignment="1" applyProtection="1">
      <alignment horizontal="left"/>
      <protection hidden="1"/>
    </xf>
    <xf numFmtId="0" fontId="19" fillId="2" borderId="25" xfId="0" applyFont="1" applyFill="1" applyBorder="1" applyAlignment="1" applyProtection="1">
      <alignment horizontal="left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 indent="4"/>
      <protection hidden="1"/>
    </xf>
    <xf numFmtId="0" fontId="23" fillId="4" borderId="19" xfId="0" applyFont="1" applyFill="1" applyBorder="1" applyAlignment="1" applyProtection="1">
      <alignment horizontal="center" vertical="center"/>
      <protection hidden="1"/>
    </xf>
    <xf numFmtId="0" fontId="23" fillId="4" borderId="23" xfId="0" applyFont="1" applyFill="1" applyBorder="1" applyAlignment="1" applyProtection="1">
      <alignment horizontal="center" vertical="center"/>
      <protection hidden="1"/>
    </xf>
    <xf numFmtId="0" fontId="23" fillId="4" borderId="7" xfId="0" applyFont="1" applyFill="1" applyBorder="1" applyAlignment="1" applyProtection="1">
      <alignment horizontal="center" vertical="center"/>
      <protection hidden="1"/>
    </xf>
    <xf numFmtId="0" fontId="23" fillId="4" borderId="8" xfId="0" applyFont="1" applyFill="1" applyBorder="1" applyAlignment="1" applyProtection="1">
      <alignment horizontal="center" vertical="center"/>
      <protection hidden="1"/>
    </xf>
    <xf numFmtId="0" fontId="23" fillId="4" borderId="22" xfId="0" applyFont="1" applyFill="1" applyBorder="1" applyAlignment="1" applyProtection="1">
      <alignment horizontal="left" vertical="center"/>
      <protection hidden="1"/>
    </xf>
    <xf numFmtId="0" fontId="23" fillId="4" borderId="19" xfId="0" applyFont="1" applyFill="1" applyBorder="1" applyAlignment="1" applyProtection="1">
      <alignment horizontal="left" vertical="center"/>
      <protection hidden="1"/>
    </xf>
    <xf numFmtId="0" fontId="23" fillId="4" borderId="6" xfId="0" applyFont="1" applyFill="1" applyBorder="1" applyAlignment="1" applyProtection="1">
      <alignment horizontal="left" vertical="center"/>
      <protection hidden="1"/>
    </xf>
    <xf numFmtId="0" fontId="23" fillId="4" borderId="7" xfId="0" applyFont="1" applyFill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19" fillId="0" borderId="7" xfId="0" applyFont="1" applyBorder="1" applyAlignment="1" applyProtection="1">
      <alignment horizont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</cellXfs>
  <cellStyles count="5">
    <cellStyle name="Comma 2" xfId="4" xr:uid="{EFAD435F-0157-4454-AF14-7FD1679750EC}"/>
    <cellStyle name="Currency 2" xfId="3" xr:uid="{4D6B049B-F658-4B3B-B736-57E43785F19A}"/>
    <cellStyle name="Normal" xfId="0" builtinId="0"/>
    <cellStyle name="Normal 2" xfId="1" xr:uid="{B1A98652-4001-4872-A576-D39039FE9F7E}"/>
    <cellStyle name="Percent 2" xfId="2" xr:uid="{4798A842-057B-4DD2-85E4-ABF7017D8BBF}"/>
  </cellStyles>
  <dxfs count="0"/>
  <tableStyles count="0" defaultTableStyle="TableStyleMedium2" defaultPivotStyle="PivotStyleLight16"/>
  <colors>
    <mruColors>
      <color rgb="FFA9C9E6"/>
      <color rgb="FF1D87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Calc!$D$28</c:f>
              <c:strCache>
                <c:ptCount val="1"/>
                <c:pt idx="0">
                  <c:v>On Prem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Calc!$D$29:$D$33</c:f>
              <c:numCache>
                <c:formatCode>"$"#,##0_);[Red]\("$"#,##0\)</c:formatCode>
                <c:ptCount val="5"/>
                <c:pt idx="0">
                  <c:v>36180</c:v>
                </c:pt>
                <c:pt idx="1">
                  <c:v>23980</c:v>
                </c:pt>
                <c:pt idx="2">
                  <c:v>23980</c:v>
                </c:pt>
                <c:pt idx="3">
                  <c:v>23980</c:v>
                </c:pt>
                <c:pt idx="4">
                  <c:v>23980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4-440E-B4EB-29C30220D610}"/>
            </c:ext>
          </c:extLst>
        </c:ser>
        <c:ser>
          <c:idx val="2"/>
          <c:order val="2"/>
          <c:tx>
            <c:strRef>
              <c:f>Calc!$E$28</c:f>
              <c:strCache>
                <c:ptCount val="1"/>
                <c:pt idx="0">
                  <c:v>APC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Calc!$E$29:$E$33</c:f>
              <c:numCache>
                <c:formatCode>"$"#,##0_);[Red]\("$"#,##0\)</c:formatCode>
                <c:ptCount val="5"/>
                <c:pt idx="0">
                  <c:v>10992</c:v>
                </c:pt>
                <c:pt idx="1">
                  <c:v>10992</c:v>
                </c:pt>
                <c:pt idx="2">
                  <c:v>10992</c:v>
                </c:pt>
                <c:pt idx="3">
                  <c:v>10992</c:v>
                </c:pt>
                <c:pt idx="4">
                  <c:v>10992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4-440E-B4EB-29C30220D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12860560"/>
        <c:axId val="1508662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Calc!$C$28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Calc!$C$29:$C$33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A84-440E-B4EB-29C30220D61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Calc!$F$28</c:f>
              <c:strCache>
                <c:ptCount val="1"/>
                <c:pt idx="0">
                  <c:v>Cumulative On Prem </c:v>
                </c:pt>
              </c:strCache>
            </c:strRef>
          </c:tx>
          <c:spPr>
            <a:ln w="381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Calc!$F$29:$F$33</c:f>
              <c:numCache>
                <c:formatCode>"$"#,##0_);[Red]\("$"#,##0\)</c:formatCode>
                <c:ptCount val="5"/>
                <c:pt idx="0">
                  <c:v>36180</c:v>
                </c:pt>
                <c:pt idx="1">
                  <c:v>60160</c:v>
                </c:pt>
                <c:pt idx="2">
                  <c:v>84140</c:v>
                </c:pt>
                <c:pt idx="3">
                  <c:v>108120</c:v>
                </c:pt>
                <c:pt idx="4">
                  <c:v>132100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84-440E-B4EB-29C30220D610}"/>
            </c:ext>
          </c:extLst>
        </c:ser>
        <c:ser>
          <c:idx val="4"/>
          <c:order val="4"/>
          <c:tx>
            <c:strRef>
              <c:f>Calc!$G$28</c:f>
              <c:strCache>
                <c:ptCount val="1"/>
                <c:pt idx="0">
                  <c:v>Cumulative APC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Calc!$G$29:$G$33</c:f>
              <c:numCache>
                <c:formatCode>"$"#,##0_);[Red]\("$"#,##0\)</c:formatCode>
                <c:ptCount val="5"/>
                <c:pt idx="0">
                  <c:v>10992</c:v>
                </c:pt>
                <c:pt idx="1">
                  <c:v>21984</c:v>
                </c:pt>
                <c:pt idx="2">
                  <c:v>32976</c:v>
                </c:pt>
                <c:pt idx="3">
                  <c:v>43968</c:v>
                </c:pt>
                <c:pt idx="4">
                  <c:v>54960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84-440E-B4EB-29C30220D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855360"/>
        <c:axId val="1996256320"/>
      </c:lineChart>
      <c:catAx>
        <c:axId val="201286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662576"/>
        <c:crosses val="autoZero"/>
        <c:auto val="1"/>
        <c:lblAlgn val="ctr"/>
        <c:lblOffset val="100"/>
        <c:noMultiLvlLbl val="0"/>
      </c:catAx>
      <c:valAx>
        <c:axId val="150866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860560"/>
        <c:crosses val="autoZero"/>
        <c:crossBetween val="between"/>
      </c:valAx>
      <c:valAx>
        <c:axId val="1996256320"/>
        <c:scaling>
          <c:orientation val="minMax"/>
        </c:scaling>
        <c:delete val="0"/>
        <c:axPos val="r"/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855360"/>
        <c:crosses val="max"/>
        <c:crossBetween val="between"/>
      </c:valAx>
      <c:catAx>
        <c:axId val="201285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6256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Calc!$D$28</c:f>
              <c:strCache>
                <c:ptCount val="1"/>
                <c:pt idx="0">
                  <c:v>On Prem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Calc!$D$29:$D$33</c:f>
              <c:numCache>
                <c:formatCode>"$"#,##0_);[Red]\("$"#,##0\)</c:formatCode>
                <c:ptCount val="5"/>
                <c:pt idx="0">
                  <c:v>36180</c:v>
                </c:pt>
                <c:pt idx="1">
                  <c:v>23980</c:v>
                </c:pt>
                <c:pt idx="2">
                  <c:v>23980</c:v>
                </c:pt>
                <c:pt idx="3">
                  <c:v>23980</c:v>
                </c:pt>
                <c:pt idx="4">
                  <c:v>23980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F-44D7-8E7B-C54F942546D5}"/>
            </c:ext>
          </c:extLst>
        </c:ser>
        <c:ser>
          <c:idx val="2"/>
          <c:order val="2"/>
          <c:tx>
            <c:strRef>
              <c:f>Calc!$E$28</c:f>
              <c:strCache>
                <c:ptCount val="1"/>
                <c:pt idx="0">
                  <c:v>APC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Calc!$E$29:$E$33</c:f>
              <c:numCache>
                <c:formatCode>"$"#,##0_);[Red]\("$"#,##0\)</c:formatCode>
                <c:ptCount val="5"/>
                <c:pt idx="0">
                  <c:v>10992</c:v>
                </c:pt>
                <c:pt idx="1">
                  <c:v>10992</c:v>
                </c:pt>
                <c:pt idx="2">
                  <c:v>10992</c:v>
                </c:pt>
                <c:pt idx="3">
                  <c:v>10992</c:v>
                </c:pt>
                <c:pt idx="4">
                  <c:v>10992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F-44D7-8E7B-C54F9425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12860560"/>
        <c:axId val="1508662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Calc!$C$28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Calc!$C$29:$C$33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F8F-44D7-8E7B-C54F942546D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Calc!$F$28</c:f>
              <c:strCache>
                <c:ptCount val="1"/>
                <c:pt idx="0">
                  <c:v>Cumulative On Prem 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Calc!$F$29:$F$33</c:f>
              <c:numCache>
                <c:formatCode>"$"#,##0_);[Red]\("$"#,##0\)</c:formatCode>
                <c:ptCount val="5"/>
                <c:pt idx="0">
                  <c:v>36180</c:v>
                </c:pt>
                <c:pt idx="1">
                  <c:v>60160</c:v>
                </c:pt>
                <c:pt idx="2">
                  <c:v>84140</c:v>
                </c:pt>
                <c:pt idx="3">
                  <c:v>108120</c:v>
                </c:pt>
                <c:pt idx="4">
                  <c:v>132100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8F-44D7-8E7B-C54F942546D5}"/>
            </c:ext>
          </c:extLst>
        </c:ser>
        <c:ser>
          <c:idx val="4"/>
          <c:order val="4"/>
          <c:tx>
            <c:strRef>
              <c:f>Calc!$G$28</c:f>
              <c:strCache>
                <c:ptCount val="1"/>
                <c:pt idx="0">
                  <c:v>Cumulative APC</c:v>
                </c:pt>
              </c:strCache>
            </c:strRef>
          </c:tx>
          <c:spPr>
            <a:ln w="381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Calc!$G$29:$G$33</c:f>
              <c:numCache>
                <c:formatCode>"$"#,##0_);[Red]\("$"#,##0\)</c:formatCode>
                <c:ptCount val="5"/>
                <c:pt idx="0">
                  <c:v>10992</c:v>
                </c:pt>
                <c:pt idx="1">
                  <c:v>21984</c:v>
                </c:pt>
                <c:pt idx="2">
                  <c:v>32976</c:v>
                </c:pt>
                <c:pt idx="3">
                  <c:v>43968</c:v>
                </c:pt>
                <c:pt idx="4">
                  <c:v>54960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8F-44D7-8E7B-C54F9425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855360"/>
        <c:axId val="1996256320"/>
      </c:lineChart>
      <c:catAx>
        <c:axId val="201286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662576"/>
        <c:crosses val="autoZero"/>
        <c:auto val="1"/>
        <c:lblAlgn val="ctr"/>
        <c:lblOffset val="100"/>
        <c:noMultiLvlLbl val="0"/>
      </c:catAx>
      <c:valAx>
        <c:axId val="150866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860560"/>
        <c:crosses val="autoZero"/>
        <c:crossBetween val="between"/>
      </c:valAx>
      <c:valAx>
        <c:axId val="1996256320"/>
        <c:scaling>
          <c:orientation val="minMax"/>
        </c:scaling>
        <c:delete val="0"/>
        <c:axPos val="r"/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855360"/>
        <c:crosses val="max"/>
        <c:crossBetween val="between"/>
      </c:valAx>
      <c:catAx>
        <c:axId val="201285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6256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051485061918578"/>
          <c:y val="0.91814283638901839"/>
          <c:w val="0.74143799369959529"/>
          <c:h val="7.6811015968172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91440</xdr:rowOff>
    </xdr:from>
    <xdr:to>
      <xdr:col>2</xdr:col>
      <xdr:colOff>295275</xdr:colOff>
      <xdr:row>2</xdr:row>
      <xdr:rowOff>152400</xdr:rowOff>
    </xdr:to>
    <xdr:pic>
      <xdr:nvPicPr>
        <xdr:cNvPr id="2" name="Picture 1" descr="AbacusNext Logo">
          <a:extLst>
            <a:ext uri="{FF2B5EF4-FFF2-40B4-BE49-F238E27FC236}">
              <a16:creationId xmlns:a16="http://schemas.microsoft.com/office/drawing/2014/main" id="{55BC21D4-98C4-4FC1-86EB-1C19F2A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91440"/>
          <a:ext cx="2857500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1169671</xdr:colOff>
      <xdr:row>0</xdr:row>
      <xdr:rowOff>99060</xdr:rowOff>
    </xdr:from>
    <xdr:to>
      <xdr:col>5</xdr:col>
      <xdr:colOff>1320612</xdr:colOff>
      <xdr:row>3</xdr:row>
      <xdr:rowOff>13335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39FF56-968F-4C15-B005-171867653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471" y="99060"/>
          <a:ext cx="2255966" cy="45720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40</xdr:row>
      <xdr:rowOff>7620</xdr:rowOff>
    </xdr:from>
    <xdr:to>
      <xdr:col>6</xdr:col>
      <xdr:colOff>7620</xdr:colOff>
      <xdr:row>55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2A59B6-A732-49F4-8F3E-E154DEC6F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149544</xdr:colOff>
      <xdr:row>1</xdr:row>
      <xdr:rowOff>31908</xdr:rowOff>
    </xdr:from>
    <xdr:to>
      <xdr:col>1</xdr:col>
      <xdr:colOff>2512219</xdr:colOff>
      <xdr:row>3</xdr:row>
      <xdr:rowOff>25002</xdr:rowOff>
    </xdr:to>
    <xdr:pic>
      <xdr:nvPicPr>
        <xdr:cNvPr id="2" name="Picture 1" descr="AbacusNext Logo">
          <a:extLst>
            <a:ext uri="{FF2B5EF4-FFF2-40B4-BE49-F238E27FC236}">
              <a16:creationId xmlns:a16="http://schemas.microsoft.com/office/drawing/2014/main" id="{F6FC3246-C322-49BB-95D2-AB0E24AE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7" y="222408"/>
          <a:ext cx="2362675" cy="37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84295</xdr:colOff>
      <xdr:row>41</xdr:row>
      <xdr:rowOff>183357</xdr:rowOff>
    </xdr:from>
    <xdr:to>
      <xdr:col>7</xdr:col>
      <xdr:colOff>1012031</xdr:colOff>
      <xdr:row>58</xdr:row>
      <xdr:rowOff>1666875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8134FA-3F0A-4F8D-BF6E-88C4A8796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95252</xdr:colOff>
      <xdr:row>0</xdr:row>
      <xdr:rowOff>178593</xdr:rowOff>
    </xdr:from>
    <xdr:to>
      <xdr:col>7</xdr:col>
      <xdr:colOff>758448</xdr:colOff>
      <xdr:row>3</xdr:row>
      <xdr:rowOff>35718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E470EE7-09B4-4C99-B2DB-8DC53F9D7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0846" y="178593"/>
          <a:ext cx="209194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C716-D8E6-42D9-B99E-AF78C18AD44C}">
  <sheetPr>
    <pageSetUpPr fitToPage="1"/>
  </sheetPr>
  <dimension ref="B1:C19"/>
  <sheetViews>
    <sheetView showGridLines="0" tabSelected="1" zoomScaleNormal="100" workbookViewId="0">
      <selection activeCell="C15" sqref="C15"/>
    </sheetView>
  </sheetViews>
  <sheetFormatPr defaultColWidth="8.88671875" defaultRowHeight="14.4"/>
  <cols>
    <col min="1" max="1" width="2.33203125" style="14" customWidth="1"/>
    <col min="2" max="2" width="71.33203125" style="14" customWidth="1"/>
    <col min="3" max="3" width="33.6640625" style="51" customWidth="1"/>
    <col min="4" max="4" width="63.109375" style="14" bestFit="1" customWidth="1"/>
    <col min="5" max="16384" width="8.88671875" style="14"/>
  </cols>
  <sheetData>
    <row r="1" spans="2:3">
      <c r="B1" s="86"/>
      <c r="C1" s="87"/>
    </row>
    <row r="2" spans="2:3">
      <c r="B2" s="86"/>
      <c r="C2" s="87"/>
    </row>
    <row r="3" spans="2:3">
      <c r="B3" s="88" t="s">
        <v>82</v>
      </c>
      <c r="C3" s="89" t="s">
        <v>129</v>
      </c>
    </row>
    <row r="4" spans="2:3">
      <c r="B4" s="90"/>
      <c r="C4" s="87"/>
    </row>
    <row r="5" spans="2:3">
      <c r="B5" s="88" t="s">
        <v>84</v>
      </c>
      <c r="C5" s="91">
        <v>43972</v>
      </c>
    </row>
    <row r="6" spans="2:3">
      <c r="B6" s="90"/>
      <c r="C6" s="92"/>
    </row>
    <row r="7" spans="2:3">
      <c r="B7" s="88" t="s">
        <v>41</v>
      </c>
      <c r="C7" s="89" t="s">
        <v>132</v>
      </c>
    </row>
    <row r="8" spans="2:3">
      <c r="B8" s="93"/>
      <c r="C8" s="94"/>
    </row>
    <row r="9" spans="2:3">
      <c r="B9" s="88" t="s">
        <v>135</v>
      </c>
      <c r="C9" s="95">
        <v>300</v>
      </c>
    </row>
    <row r="10" spans="2:3">
      <c r="B10" s="90"/>
      <c r="C10" s="96"/>
    </row>
    <row r="11" spans="2:3">
      <c r="B11" s="88" t="s">
        <v>108</v>
      </c>
      <c r="C11" s="89">
        <v>5</v>
      </c>
    </row>
    <row r="12" spans="2:3">
      <c r="B12" s="90"/>
      <c r="C12" s="87"/>
    </row>
    <row r="13" spans="2:3">
      <c r="B13" s="88" t="s">
        <v>47</v>
      </c>
      <c r="C13" s="89">
        <v>4</v>
      </c>
    </row>
    <row r="14" spans="2:3">
      <c r="B14" s="90"/>
      <c r="C14" s="87"/>
    </row>
    <row r="15" spans="2:3">
      <c r="B15" s="88" t="s">
        <v>86</v>
      </c>
      <c r="C15" s="89" t="s">
        <v>63</v>
      </c>
    </row>
    <row r="16" spans="2:3">
      <c r="B16" s="97" t="s">
        <v>136</v>
      </c>
      <c r="C16" s="98"/>
    </row>
    <row r="17" spans="2:3">
      <c r="B17" s="99"/>
      <c r="C17" s="100"/>
    </row>
    <row r="18" spans="2:3">
      <c r="B18" s="88" t="s">
        <v>109</v>
      </c>
      <c r="C18" s="95">
        <v>0</v>
      </c>
    </row>
    <row r="19" spans="2:3">
      <c r="B19" s="90"/>
      <c r="C19" s="96"/>
    </row>
  </sheetData>
  <sheetProtection algorithmName="SHA-512" hashValue="B/FYAnp2GxkRF1eRs7PfR5fWDocdxX20Xg3i7PPCoK98+5Ye0Tw3oBtLuG4KBrAfbmDpQKx6c3d9mvASG70iCQ==" saltValue="O+PSm9r7mQho+h8IZWmNpA==" spinCount="100000" sheet="1" objects="1" scenarios="1" selectLockedCells="1"/>
  <dataValidations count="4">
    <dataValidation type="list" allowBlank="1" showInputMessage="1" showErrorMessage="1" sqref="C7:C8" xr:uid="{6ED45B7A-FCE9-4C5B-91F4-795CC5DED799}">
      <formula1>"Law,Accounting"</formula1>
    </dataValidation>
    <dataValidation type="list" allowBlank="1" showInputMessage="1" showErrorMessage="1" sqref="C15" xr:uid="{02190FBC-489E-4D39-A631-3D417D86D9F4}">
      <formula1>"Yes,No"</formula1>
    </dataValidation>
    <dataValidation type="list" allowBlank="1" showInputMessage="1" showErrorMessage="1" sqref="C11" xr:uid="{14ACB337-B12B-4C2B-9C18-64298CDF7CCA}">
      <formula1>"3,5"</formula1>
    </dataValidation>
    <dataValidation type="whole" operator="greaterThanOrEqual" allowBlank="1" showErrorMessage="1" error="Input number of zero or higher" sqref="C18" xr:uid="{4CDEFEF7-5199-4D44-B50F-FA545945603E}">
      <formula1>0</formula1>
    </dataValidation>
  </dataValidation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29D1C-681A-4AF2-A0D2-487987C1EE9B}">
  <sheetPr>
    <pageSetUpPr fitToPage="1"/>
  </sheetPr>
  <dimension ref="B5:H60"/>
  <sheetViews>
    <sheetView showGridLines="0" topLeftCell="A7" zoomScale="80" zoomScaleNormal="80" workbookViewId="0">
      <selection activeCell="B31" sqref="B31:B32"/>
    </sheetView>
  </sheetViews>
  <sheetFormatPr defaultColWidth="8.88671875" defaultRowHeight="14.4"/>
  <cols>
    <col min="1" max="1" width="3.33203125" style="52" customWidth="1"/>
    <col min="2" max="2" width="37.6640625" style="52" customWidth="1"/>
    <col min="3" max="3" width="11.88671875" style="52" customWidth="1"/>
    <col min="4" max="4" width="21.6640625" style="52" customWidth="1"/>
    <col min="5" max="5" width="8.88671875" style="52"/>
    <col min="6" max="6" width="21.44140625" style="52" customWidth="1"/>
    <col min="7" max="16384" width="8.88671875" style="52"/>
  </cols>
  <sheetData>
    <row r="5" spans="2:6" ht="18">
      <c r="B5" s="80" t="s">
        <v>83</v>
      </c>
    </row>
    <row r="6" spans="2:6" ht="18">
      <c r="B6" s="81"/>
    </row>
    <row r="7" spans="2:6" ht="18">
      <c r="B7" s="80" t="str">
        <f>CONCATENATE("Prepared for: ",Questions!$C$3)</f>
        <v>Prepared for: Alvarez, Dayne &amp; Sorgi, LLC</v>
      </c>
    </row>
    <row r="8" spans="2:6" ht="18">
      <c r="B8" s="82">
        <f>Questions!$C$5</f>
        <v>43972</v>
      </c>
      <c r="D8" s="53"/>
    </row>
    <row r="10" spans="2:6">
      <c r="B10" s="52" t="str">
        <f>CONCATENATE("Based on the requirements of ",Questions!$C$3,", You should expect the following costs to build a secure  ")</f>
        <v xml:space="preserve">Based on the requirements of Alvarez, Dayne &amp; Sorgi, LLC, You should expect the following costs to build a secure  </v>
      </c>
    </row>
    <row r="11" spans="2:6">
      <c r="B11" s="52" t="str">
        <f>CONCATENATE("and local network with a useful life of ",Calc!$C$5," months and sufficient to support ",Questions!$C$13," users:")</f>
        <v>and local network with a useful life of 60 months and sufficient to support 4 users:</v>
      </c>
    </row>
    <row r="12" spans="2:6" ht="15" thickBot="1"/>
    <row r="13" spans="2:6">
      <c r="B13" s="54" t="s">
        <v>85</v>
      </c>
      <c r="C13" s="55" t="s">
        <v>94</v>
      </c>
      <c r="D13" s="162" t="s">
        <v>57</v>
      </c>
      <c r="E13" s="162"/>
      <c r="F13" s="163"/>
    </row>
    <row r="14" spans="2:6">
      <c r="B14" s="56" t="str">
        <f>Calc!C9</f>
        <v>Server</v>
      </c>
      <c r="C14" s="57">
        <f>Calc!E9</f>
        <v>6000</v>
      </c>
      <c r="D14" s="58" t="s">
        <v>93</v>
      </c>
      <c r="E14" s="58"/>
      <c r="F14" s="59"/>
    </row>
    <row r="15" spans="2:6">
      <c r="B15" s="56" t="str">
        <f>Calc!C11</f>
        <v>Server Installation</v>
      </c>
      <c r="C15" s="57">
        <f>Calc!E11</f>
        <v>3200</v>
      </c>
      <c r="D15" s="58" t="s">
        <v>92</v>
      </c>
      <c r="E15" s="58"/>
      <c r="F15" s="59"/>
    </row>
    <row r="16" spans="2:6">
      <c r="B16" s="56" t="str">
        <f>Calc!C15</f>
        <v>Firewall</v>
      </c>
      <c r="C16" s="57">
        <f>Calc!E15</f>
        <v>1000</v>
      </c>
      <c r="D16" s="58" t="s">
        <v>92</v>
      </c>
      <c r="E16" s="58"/>
      <c r="F16" s="59"/>
    </row>
    <row r="17" spans="2:6">
      <c r="B17" s="56" t="s">
        <v>98</v>
      </c>
      <c r="C17" s="60">
        <f>IF(Questions!C15="No",Calc!E10,"N/A  ")</f>
        <v>2000</v>
      </c>
      <c r="D17" s="58" t="str">
        <f>IF(C17="N/A  ","Current PC's are adequate","Requires upgraded PC's")</f>
        <v>Requires upgraded PC's</v>
      </c>
      <c r="E17" s="58"/>
      <c r="F17" s="59"/>
    </row>
    <row r="18" spans="2:6">
      <c r="B18" s="56" t="str">
        <f>Calc!C16</f>
        <v>Monthly IT Maintenance</v>
      </c>
      <c r="C18" s="57">
        <f>Calc!E16</f>
        <v>69000</v>
      </c>
      <c r="D18" s="58" t="s">
        <v>90</v>
      </c>
      <c r="E18" s="58"/>
      <c r="F18" s="59"/>
    </row>
    <row r="19" spans="2:6">
      <c r="B19" s="56" t="str">
        <f>Calc!C19</f>
        <v>System Outage &amp; Downtime</v>
      </c>
      <c r="C19" s="57">
        <f>Calc!E19</f>
        <v>36000</v>
      </c>
      <c r="D19" s="58" t="s">
        <v>116</v>
      </c>
      <c r="E19" s="58"/>
      <c r="F19" s="59"/>
    </row>
    <row r="20" spans="2:6">
      <c r="B20" s="56" t="s">
        <v>95</v>
      </c>
      <c r="C20" s="57">
        <f>Calc!E13+Calc!E14+Calc!E17+Calc!E18</f>
        <v>14900</v>
      </c>
      <c r="D20" s="58" t="s">
        <v>96</v>
      </c>
      <c r="E20" s="58"/>
      <c r="F20" s="59"/>
    </row>
    <row r="21" spans="2:6">
      <c r="B21" s="56" t="str">
        <f>IF(Questions!$C$7="Accounting",Calc!$C$12,"")</f>
        <v/>
      </c>
      <c r="C21" s="61" t="str">
        <f>IF(Questions!$C$7="Accounting",Calc!$E$12,"")</f>
        <v/>
      </c>
      <c r="D21" s="58" t="str">
        <f>IF(Questions!$C$7="Accounting","SQL Licensing, One time","")</f>
        <v/>
      </c>
      <c r="E21" s="58"/>
      <c r="F21" s="59"/>
    </row>
    <row r="22" spans="2:6">
      <c r="B22" s="62" t="s">
        <v>97</v>
      </c>
      <c r="C22" s="63">
        <f>SUM(C14:C21)</f>
        <v>132100</v>
      </c>
      <c r="D22" s="58"/>
      <c r="E22" s="58"/>
      <c r="F22" s="59"/>
    </row>
    <row r="23" spans="2:6">
      <c r="B23" s="64" t="s">
        <v>89</v>
      </c>
      <c r="C23" s="61">
        <f>C22/Calc!$C$5</f>
        <v>2201.6666666666665</v>
      </c>
      <c r="D23" s="65"/>
      <c r="E23" s="65"/>
      <c r="F23" s="66"/>
    </row>
    <row r="24" spans="2:6">
      <c r="B24" s="56"/>
      <c r="C24" s="57"/>
      <c r="D24" s="58"/>
      <c r="E24" s="58"/>
      <c r="F24" s="59"/>
    </row>
    <row r="25" spans="2:6" ht="15" thickBot="1">
      <c r="B25" s="56" t="s">
        <v>103</v>
      </c>
      <c r="C25" s="57"/>
      <c r="D25" s="58"/>
      <c r="E25" s="58"/>
      <c r="F25" s="59"/>
    </row>
    <row r="26" spans="2:6">
      <c r="B26" s="54" t="s">
        <v>85</v>
      </c>
      <c r="C26" s="55" t="s">
        <v>94</v>
      </c>
      <c r="D26" s="162" t="s">
        <v>57</v>
      </c>
      <c r="E26" s="162"/>
      <c r="F26" s="163"/>
    </row>
    <row r="27" spans="2:6">
      <c r="B27" s="67" t="s">
        <v>99</v>
      </c>
      <c r="C27" s="68">
        <f>Calc!$G$20*Calc!$C$3*Calc!$C$5</f>
        <v>50160</v>
      </c>
      <c r="D27" s="69" t="s">
        <v>117</v>
      </c>
      <c r="E27" s="69"/>
      <c r="F27" s="70"/>
    </row>
    <row r="28" spans="2:6">
      <c r="B28" s="56" t="s">
        <v>100</v>
      </c>
      <c r="C28" s="61">
        <f>Calc!$G$17*Calc!$C$3*Calc!$C$5</f>
        <v>4800</v>
      </c>
      <c r="D28" s="58" t="s">
        <v>104</v>
      </c>
      <c r="E28" s="58"/>
      <c r="F28" s="59"/>
    </row>
    <row r="29" spans="2:6">
      <c r="B29" s="62" t="s">
        <v>97</v>
      </c>
      <c r="C29" s="63">
        <f>SUM(C27:C28)</f>
        <v>54960</v>
      </c>
      <c r="D29" s="58"/>
      <c r="E29" s="58"/>
      <c r="F29" s="59"/>
    </row>
    <row r="30" spans="2:6">
      <c r="B30" s="64" t="s">
        <v>89</v>
      </c>
      <c r="C30" s="61">
        <f>C29/Calc!$C$5</f>
        <v>916</v>
      </c>
      <c r="D30" s="65"/>
      <c r="E30" s="65"/>
      <c r="F30" s="66"/>
    </row>
    <row r="31" spans="2:6">
      <c r="B31" s="168" t="str">
        <f>CONCATENATE("Estimated Savings over ",Calc!$C$5," month term")</f>
        <v>Estimated Savings over 60 month term</v>
      </c>
      <c r="C31" s="170">
        <f>C22-C29</f>
        <v>77140</v>
      </c>
      <c r="D31" s="172" t="s">
        <v>131</v>
      </c>
      <c r="E31" s="172"/>
      <c r="F31" s="173"/>
    </row>
    <row r="32" spans="2:6" ht="15" thickBot="1">
      <c r="B32" s="169"/>
      <c r="C32" s="171"/>
      <c r="D32" s="174"/>
      <c r="E32" s="174"/>
      <c r="F32" s="175"/>
    </row>
    <row r="33" spans="2:8" ht="15" thickBot="1"/>
    <row r="34" spans="2:8">
      <c r="B34" s="165" t="s">
        <v>118</v>
      </c>
      <c r="C34" s="166"/>
      <c r="D34" s="166"/>
      <c r="E34" s="166"/>
      <c r="F34" s="167"/>
      <c r="G34" s="83"/>
      <c r="H34" s="83"/>
    </row>
    <row r="35" spans="2:8">
      <c r="B35" s="56"/>
      <c r="C35" s="74"/>
      <c r="D35" s="74"/>
      <c r="E35" s="74"/>
      <c r="F35" s="59"/>
      <c r="G35" s="58"/>
      <c r="H35" s="58"/>
    </row>
    <row r="36" spans="2:8">
      <c r="B36" s="77" t="s">
        <v>127</v>
      </c>
      <c r="C36" s="76" t="s">
        <v>122</v>
      </c>
      <c r="D36" s="76"/>
      <c r="E36" s="76" t="s">
        <v>124</v>
      </c>
      <c r="F36" s="59"/>
      <c r="G36" s="58"/>
      <c r="H36" s="58"/>
    </row>
    <row r="37" spans="2:8">
      <c r="B37" s="77" t="s">
        <v>119</v>
      </c>
      <c r="C37" s="76" t="s">
        <v>120</v>
      </c>
      <c r="D37" s="76"/>
      <c r="E37" s="76" t="s">
        <v>125</v>
      </c>
      <c r="F37" s="59"/>
      <c r="G37" s="58"/>
      <c r="H37" s="58"/>
    </row>
    <row r="38" spans="2:8" ht="15" thickBot="1">
      <c r="B38" s="78" t="s">
        <v>121</v>
      </c>
      <c r="C38" s="79" t="s">
        <v>123</v>
      </c>
      <c r="D38" s="79"/>
      <c r="E38" s="79" t="s">
        <v>126</v>
      </c>
      <c r="F38" s="71"/>
      <c r="G38" s="58"/>
      <c r="H38" s="58"/>
    </row>
    <row r="39" spans="2:8">
      <c r="G39" s="58"/>
      <c r="H39" s="58"/>
    </row>
    <row r="57" spans="2:6">
      <c r="B57" s="84" t="s">
        <v>107</v>
      </c>
    </row>
    <row r="59" spans="2:6">
      <c r="B59" s="164" t="s">
        <v>101</v>
      </c>
      <c r="C59" s="164"/>
      <c r="D59" s="164"/>
      <c r="E59" s="164"/>
      <c r="F59" s="164"/>
    </row>
    <row r="60" spans="2:6">
      <c r="B60" s="164" t="s">
        <v>102</v>
      </c>
      <c r="C60" s="164"/>
      <c r="D60" s="164"/>
      <c r="E60" s="164"/>
      <c r="F60" s="164"/>
    </row>
  </sheetData>
  <sheetProtection sheet="1" objects="1" scenarios="1" selectLockedCells="1" selectUnlockedCells="1"/>
  <mergeCells count="8">
    <mergeCell ref="D13:F13"/>
    <mergeCell ref="D26:F26"/>
    <mergeCell ref="B59:F59"/>
    <mergeCell ref="B60:F60"/>
    <mergeCell ref="B34:F34"/>
    <mergeCell ref="B31:B32"/>
    <mergeCell ref="C31:C32"/>
    <mergeCell ref="D31:F32"/>
  </mergeCell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0E8C-9585-479C-A493-422813217C55}">
  <sheetPr>
    <pageSetUpPr fitToPage="1"/>
  </sheetPr>
  <dimension ref="B1:J64"/>
  <sheetViews>
    <sheetView showGridLines="0" topLeftCell="A7" zoomScale="80" zoomScaleNormal="80" workbookViewId="0">
      <selection activeCell="D30" sqref="D30"/>
    </sheetView>
  </sheetViews>
  <sheetFormatPr defaultColWidth="8.88671875" defaultRowHeight="14.4"/>
  <cols>
    <col min="1" max="1" width="3.33203125" style="52" customWidth="1"/>
    <col min="2" max="2" width="44.33203125" style="52" customWidth="1"/>
    <col min="3" max="4" width="12.6640625" style="52" customWidth="1"/>
    <col min="5" max="5" width="14.109375" style="52" customWidth="1"/>
    <col min="6" max="6" width="24.88671875" style="52" customWidth="1"/>
    <col min="7" max="7" width="21.44140625" style="52" customWidth="1"/>
    <col min="8" max="8" width="18.109375" style="52" customWidth="1"/>
    <col min="9" max="10" width="21.44140625" style="52" customWidth="1"/>
    <col min="11" max="16384" width="8.88671875" style="52"/>
  </cols>
  <sheetData>
    <row r="1" spans="2:9">
      <c r="B1" s="143"/>
      <c r="C1" s="143"/>
      <c r="D1" s="143"/>
      <c r="E1" s="143"/>
      <c r="F1" s="143"/>
      <c r="G1" s="143"/>
      <c r="H1" s="143"/>
    </row>
    <row r="2" spans="2:9">
      <c r="B2" s="143"/>
      <c r="C2" s="143"/>
      <c r="D2" s="143"/>
      <c r="E2" s="143"/>
      <c r="F2" s="143"/>
      <c r="G2" s="143"/>
      <c r="H2" s="143"/>
    </row>
    <row r="3" spans="2:9">
      <c r="B3" s="143"/>
      <c r="C3" s="143"/>
      <c r="D3" s="143"/>
      <c r="E3" s="143"/>
      <c r="F3" s="143"/>
      <c r="G3" s="143"/>
      <c r="H3" s="143"/>
    </row>
    <row r="4" spans="2:9">
      <c r="B4" s="144"/>
      <c r="C4" s="144"/>
      <c r="D4" s="144"/>
      <c r="E4" s="144"/>
      <c r="F4" s="144"/>
      <c r="G4" s="144"/>
      <c r="H4" s="144"/>
    </row>
    <row r="5" spans="2:9" ht="17.399999999999999">
      <c r="B5" s="176" t="s">
        <v>83</v>
      </c>
      <c r="C5" s="176"/>
      <c r="D5" s="176"/>
      <c r="E5" s="176"/>
      <c r="F5" s="176"/>
      <c r="G5" s="176"/>
      <c r="H5" s="176"/>
    </row>
    <row r="6" spans="2:9" ht="17.399999999999999">
      <c r="B6" s="105"/>
      <c r="C6" s="103"/>
      <c r="D6" s="103"/>
      <c r="E6" s="103"/>
      <c r="F6" s="103"/>
      <c r="G6" s="103"/>
      <c r="H6" s="103"/>
    </row>
    <row r="7" spans="2:9" ht="17.399999999999999">
      <c r="B7" s="104" t="str">
        <f>CONCATENATE("Prepared for: ",Questions!$C$3)</f>
        <v>Prepared for: Alvarez, Dayne &amp; Sorgi, LLC</v>
      </c>
      <c r="C7" s="103"/>
      <c r="D7" s="103"/>
      <c r="E7" s="103"/>
      <c r="F7" s="103"/>
      <c r="G7" s="103"/>
      <c r="H7" s="103"/>
    </row>
    <row r="8" spans="2:9" ht="17.399999999999999">
      <c r="B8" s="106">
        <f>Questions!$C$5</f>
        <v>43972</v>
      </c>
      <c r="C8" s="103"/>
      <c r="D8" s="107"/>
      <c r="E8" s="103"/>
      <c r="F8" s="103"/>
      <c r="G8" s="103"/>
      <c r="H8" s="103"/>
    </row>
    <row r="9" spans="2:9">
      <c r="B9" s="103"/>
      <c r="C9" s="103"/>
      <c r="D9" s="103"/>
      <c r="E9" s="103"/>
      <c r="F9" s="103"/>
      <c r="G9" s="103"/>
      <c r="H9" s="103"/>
    </row>
    <row r="10" spans="2:9" ht="15.6">
      <c r="B10" s="120" t="str">
        <f>CONCATENATE("Based on the requirements of ",Questions!$C$3,", You should expect the following costs to build a secure and local ")</f>
        <v xml:space="preserve">Based on the requirements of Alvarez, Dayne &amp; Sorgi, LLC, You should expect the following costs to build a secure and local </v>
      </c>
      <c r="C10" s="120"/>
      <c r="D10" s="120"/>
      <c r="E10" s="120"/>
      <c r="F10" s="103"/>
      <c r="G10" s="103"/>
      <c r="H10" s="103"/>
    </row>
    <row r="11" spans="2:9" ht="15.6">
      <c r="B11" s="120" t="str">
        <f>CONCATENATE("network with a useful life of ",Calc!$C$5," months and sufficient to support ",Questions!$C$13," users:")</f>
        <v>network with a useful life of 60 months and sufficient to support 4 users:</v>
      </c>
      <c r="C11" s="120"/>
      <c r="D11" s="120"/>
      <c r="E11" s="120"/>
      <c r="F11" s="103"/>
      <c r="G11" s="103"/>
      <c r="H11" s="103"/>
    </row>
    <row r="12" spans="2:9" ht="16.2" thickBot="1">
      <c r="B12" s="114"/>
      <c r="C12" s="114"/>
      <c r="D12" s="114"/>
      <c r="E12" s="114"/>
      <c r="F12" s="101"/>
      <c r="G12" s="101"/>
      <c r="H12" s="101"/>
    </row>
    <row r="13" spans="2:9" ht="18" thickBot="1">
      <c r="B13" s="177" t="s">
        <v>133</v>
      </c>
      <c r="C13" s="178"/>
      <c r="D13" s="178"/>
      <c r="E13" s="178"/>
      <c r="F13" s="178"/>
      <c r="G13" s="178"/>
      <c r="H13" s="179"/>
    </row>
    <row r="14" spans="2:9" ht="17.399999999999999">
      <c r="B14" s="118" t="s">
        <v>85</v>
      </c>
      <c r="C14" s="119" t="s">
        <v>110</v>
      </c>
      <c r="D14" s="119" t="s">
        <v>111</v>
      </c>
      <c r="E14" s="119" t="s">
        <v>112</v>
      </c>
      <c r="F14" s="182" t="s">
        <v>57</v>
      </c>
      <c r="G14" s="182"/>
      <c r="H14" s="183"/>
      <c r="I14" s="73"/>
    </row>
    <row r="15" spans="2:9" ht="18">
      <c r="B15" s="128" t="str">
        <f>Calc!C9</f>
        <v>Server</v>
      </c>
      <c r="C15" s="129">
        <f>Calc!E9</f>
        <v>6000</v>
      </c>
      <c r="D15" s="129"/>
      <c r="E15" s="129">
        <f>(C15*1)+(D15*Calc!$C$5)</f>
        <v>6000</v>
      </c>
      <c r="F15" s="130" t="s">
        <v>93</v>
      </c>
      <c r="G15" s="130"/>
      <c r="H15" s="131"/>
      <c r="I15" s="58"/>
    </row>
    <row r="16" spans="2:9" ht="18">
      <c r="B16" s="128" t="str">
        <f>Calc!C11</f>
        <v>Server Installation</v>
      </c>
      <c r="C16" s="129">
        <f>Calc!E11</f>
        <v>3200</v>
      </c>
      <c r="D16" s="129"/>
      <c r="E16" s="129">
        <f>(C16*1)+(D16*Calc!$C$5)</f>
        <v>3200</v>
      </c>
      <c r="F16" s="130" t="s">
        <v>92</v>
      </c>
      <c r="G16" s="130"/>
      <c r="H16" s="131"/>
      <c r="I16" s="58"/>
    </row>
    <row r="17" spans="2:10" ht="18">
      <c r="B17" s="128" t="str">
        <f>Calc!C15</f>
        <v>Firewall</v>
      </c>
      <c r="C17" s="129">
        <f>Calc!E15</f>
        <v>1000</v>
      </c>
      <c r="D17" s="129"/>
      <c r="E17" s="129">
        <f>(C17*1)+(D17*Calc!$C$5)</f>
        <v>1000</v>
      </c>
      <c r="F17" s="130" t="s">
        <v>92</v>
      </c>
      <c r="G17" s="130"/>
      <c r="H17" s="131"/>
      <c r="I17" s="58"/>
    </row>
    <row r="18" spans="2:10" ht="18">
      <c r="B18" s="128" t="s">
        <v>98</v>
      </c>
      <c r="C18" s="129">
        <f>IF(Questions!C15="No",Calc!E10,0)</f>
        <v>2000</v>
      </c>
      <c r="D18" s="129"/>
      <c r="E18" s="132">
        <f>(C18*1)+(D18*Calc!$C$5)</f>
        <v>2000</v>
      </c>
      <c r="F18" s="130" t="str">
        <f>IF(Questions!$C$15="Yes","Current PC's are adequate","Requires upgraded PC's")</f>
        <v>Requires upgraded PC's</v>
      </c>
      <c r="G18" s="130"/>
      <c r="H18" s="131"/>
      <c r="I18" s="58"/>
    </row>
    <row r="19" spans="2:10" ht="18">
      <c r="B19" s="128" t="str">
        <f>Calc!C16</f>
        <v>Monthly IT Maintenance</v>
      </c>
      <c r="C19" s="129"/>
      <c r="D19" s="129">
        <f>Calc!D16</f>
        <v>1150</v>
      </c>
      <c r="E19" s="129">
        <f>(C19*1)+(D19*Calc!$C$5)</f>
        <v>69000</v>
      </c>
      <c r="F19" s="130" t="s">
        <v>90</v>
      </c>
      <c r="G19" s="130"/>
      <c r="H19" s="131"/>
      <c r="I19" s="58"/>
    </row>
    <row r="20" spans="2:10" ht="18">
      <c r="B20" s="128" t="str">
        <f>Calc!C19</f>
        <v>System Outage &amp; Downtime</v>
      </c>
      <c r="C20" s="129"/>
      <c r="D20" s="129">
        <f>Calc!D19*0.5*Calc!C3</f>
        <v>600</v>
      </c>
      <c r="E20" s="129">
        <f>(C20*1)+(D20*Calc!$C$5)</f>
        <v>36000</v>
      </c>
      <c r="F20" s="130" t="s">
        <v>116</v>
      </c>
      <c r="G20" s="130"/>
      <c r="H20" s="131"/>
      <c r="I20" s="58"/>
    </row>
    <row r="21" spans="2:10" ht="18">
      <c r="B21" s="128" t="s">
        <v>113</v>
      </c>
      <c r="C21" s="129"/>
      <c r="D21" s="129">
        <f>Calc!D13+(Calc!D14/12)+Calc!D18</f>
        <v>168.33333333333331</v>
      </c>
      <c r="E21" s="129">
        <f>(C21*1)+(D21*Calc!$C$5)</f>
        <v>10099.999999999998</v>
      </c>
      <c r="F21" s="130" t="s">
        <v>115</v>
      </c>
      <c r="G21" s="130"/>
      <c r="H21" s="131"/>
      <c r="I21" s="58"/>
    </row>
    <row r="22" spans="2:10" ht="18">
      <c r="B22" s="128" t="s">
        <v>114</v>
      </c>
      <c r="C22" s="129"/>
      <c r="D22" s="129">
        <f>Calc!D17*Calc!$C$3</f>
        <v>80</v>
      </c>
      <c r="E22" s="129">
        <f>(C22*1)+(D22*Calc!$C$5)</f>
        <v>4800</v>
      </c>
      <c r="F22" s="130" t="s">
        <v>104</v>
      </c>
      <c r="G22" s="130"/>
      <c r="H22" s="131"/>
      <c r="I22" s="58"/>
    </row>
    <row r="23" spans="2:10" ht="15.6">
      <c r="B23" s="113" t="str">
        <f>IF(Questions!$C$7="Accounting",Calc!$C$12,"")</f>
        <v/>
      </c>
      <c r="C23" s="115" t="str">
        <f>IF(Questions!$C$7="Accounting",Calc!$E$12,"")</f>
        <v/>
      </c>
      <c r="D23" s="116"/>
      <c r="E23" s="117" t="str">
        <f>IF(C23="","",C23)</f>
        <v/>
      </c>
      <c r="F23" s="114" t="str">
        <f>IF(Questions!$C$7="Accounting","SQL Licensing, Perpetual License","")</f>
        <v/>
      </c>
      <c r="G23" s="114"/>
      <c r="H23" s="59"/>
      <c r="I23" s="58"/>
    </row>
    <row r="24" spans="2:10" ht="17.399999999999999">
      <c r="B24" s="121" t="s">
        <v>97</v>
      </c>
      <c r="C24" s="122">
        <f>SUM(C15:C23)</f>
        <v>12200</v>
      </c>
      <c r="D24" s="122">
        <f>SUM(D15:D23)</f>
        <v>1998.3333333333333</v>
      </c>
      <c r="E24" s="122">
        <f>SUM(E15:E23)</f>
        <v>132100</v>
      </c>
      <c r="F24" s="101"/>
      <c r="G24" s="101"/>
      <c r="H24" s="59"/>
      <c r="I24" s="58"/>
    </row>
    <row r="25" spans="2:10" ht="5.4" customHeight="1">
      <c r="B25" s="109"/>
      <c r="C25" s="110"/>
      <c r="D25" s="110"/>
      <c r="E25" s="110"/>
      <c r="F25" s="108"/>
      <c r="G25" s="108"/>
      <c r="H25" s="66"/>
      <c r="I25" s="58"/>
    </row>
    <row r="26" spans="2:10">
      <c r="B26" s="56"/>
      <c r="C26" s="58"/>
      <c r="D26" s="58"/>
      <c r="E26" s="58"/>
      <c r="F26" s="58"/>
      <c r="G26" s="58"/>
      <c r="H26" s="59"/>
      <c r="I26" s="58"/>
    </row>
    <row r="27" spans="2:10" ht="18" thickBot="1">
      <c r="B27" s="196" t="s">
        <v>134</v>
      </c>
      <c r="C27" s="197"/>
      <c r="D27" s="197"/>
      <c r="E27" s="197"/>
      <c r="F27" s="197"/>
      <c r="G27" s="197"/>
      <c r="H27" s="198"/>
      <c r="I27" s="58"/>
    </row>
    <row r="28" spans="2:10" ht="17.399999999999999">
      <c r="B28" s="118" t="s">
        <v>85</v>
      </c>
      <c r="C28" s="119" t="s">
        <v>110</v>
      </c>
      <c r="D28" s="119" t="s">
        <v>111</v>
      </c>
      <c r="E28" s="119" t="s">
        <v>112</v>
      </c>
      <c r="F28" s="182" t="s">
        <v>57</v>
      </c>
      <c r="G28" s="182"/>
      <c r="H28" s="183"/>
      <c r="I28" s="73"/>
    </row>
    <row r="29" spans="2:10" ht="17.399999999999999">
      <c r="B29" s="133" t="s">
        <v>99</v>
      </c>
      <c r="C29" s="130"/>
      <c r="D29" s="129">
        <f>Calc!C3*Calc!G20</f>
        <v>836</v>
      </c>
      <c r="E29" s="129">
        <f>(C29*1)+(D29*Calc!$C$5)</f>
        <v>50160</v>
      </c>
      <c r="F29" s="134" t="s">
        <v>117</v>
      </c>
      <c r="G29" s="134"/>
      <c r="H29" s="111"/>
      <c r="I29" s="58"/>
    </row>
    <row r="30" spans="2:10" ht="17.399999999999999">
      <c r="B30" s="128" t="s">
        <v>100</v>
      </c>
      <c r="C30" s="135"/>
      <c r="D30" s="136">
        <f>Calc!D17*Calc!$C$3</f>
        <v>80</v>
      </c>
      <c r="E30" s="136">
        <f>(C30*1)+(D30*Calc!$C$5)</f>
        <v>4800</v>
      </c>
      <c r="F30" s="130" t="s">
        <v>104</v>
      </c>
      <c r="G30" s="130"/>
      <c r="H30" s="102"/>
      <c r="I30" s="58"/>
    </row>
    <row r="31" spans="2:10" ht="17.399999999999999">
      <c r="B31" s="121" t="s">
        <v>97</v>
      </c>
      <c r="C31" s="122">
        <f>SUM(C29:C30)</f>
        <v>0</v>
      </c>
      <c r="D31" s="122">
        <f t="shared" ref="D31:E31" si="0">SUM(D29:D30)</f>
        <v>916</v>
      </c>
      <c r="E31" s="122">
        <f t="shared" si="0"/>
        <v>54960</v>
      </c>
      <c r="F31" s="130"/>
      <c r="G31" s="130"/>
      <c r="H31" s="102"/>
      <c r="I31" s="58"/>
    </row>
    <row r="32" spans="2:10">
      <c r="B32" s="64"/>
      <c r="C32" s="65"/>
      <c r="D32" s="65"/>
      <c r="E32" s="65"/>
      <c r="F32" s="65"/>
      <c r="G32" s="65"/>
      <c r="H32" s="66"/>
      <c r="I32" s="58"/>
      <c r="J32" s="58"/>
    </row>
    <row r="33" spans="2:10" ht="17.399999999999999">
      <c r="B33" s="192" t="str">
        <f>CONCATENATE("Estimated savings over ",Calc!$C$5," month term:")</f>
        <v>Estimated savings over 60 month term:</v>
      </c>
      <c r="C33" s="193"/>
      <c r="D33" s="193"/>
      <c r="E33" s="124">
        <f>E24-E31</f>
        <v>77140</v>
      </c>
      <c r="F33" s="188" t="s">
        <v>130</v>
      </c>
      <c r="G33" s="188"/>
      <c r="H33" s="189"/>
      <c r="I33" s="85"/>
      <c r="J33" s="85"/>
    </row>
    <row r="34" spans="2:10" ht="18.600000000000001" thickBot="1">
      <c r="B34" s="194"/>
      <c r="C34" s="195"/>
      <c r="D34" s="195"/>
      <c r="E34" s="125">
        <f>E33/E24</f>
        <v>0.58395155185465553</v>
      </c>
      <c r="F34" s="190"/>
      <c r="G34" s="190"/>
      <c r="H34" s="191"/>
    </row>
    <row r="35" spans="2:10">
      <c r="B35" s="58"/>
      <c r="C35" s="74"/>
      <c r="D35" s="74"/>
      <c r="E35" s="74"/>
      <c r="F35" s="58"/>
      <c r="G35" s="58"/>
      <c r="H35" s="58"/>
    </row>
    <row r="36" spans="2:10" ht="15" thickBot="1">
      <c r="B36" s="58"/>
      <c r="C36" s="74"/>
      <c r="D36" s="74"/>
      <c r="E36" s="74"/>
      <c r="F36" s="58"/>
      <c r="G36" s="58"/>
      <c r="H36" s="58"/>
    </row>
    <row r="37" spans="2:10" ht="17.399999999999999">
      <c r="B37" s="184" t="s">
        <v>118</v>
      </c>
      <c r="C37" s="185"/>
      <c r="D37" s="185"/>
      <c r="E37" s="185"/>
      <c r="F37" s="185"/>
      <c r="G37" s="185"/>
      <c r="H37" s="186"/>
    </row>
    <row r="38" spans="2:10" ht="15.6">
      <c r="B38" s="113"/>
      <c r="C38" s="126"/>
      <c r="D38" s="126"/>
      <c r="E38" s="126"/>
      <c r="F38" s="114"/>
      <c r="G38" s="114"/>
      <c r="H38" s="127"/>
    </row>
    <row r="39" spans="2:10" ht="17.399999999999999">
      <c r="B39" s="137" t="s">
        <v>127</v>
      </c>
      <c r="C39" s="187" t="s">
        <v>122</v>
      </c>
      <c r="D39" s="187"/>
      <c r="E39" s="187"/>
      <c r="F39" s="130"/>
      <c r="G39" s="138" t="s">
        <v>124</v>
      </c>
      <c r="H39" s="139"/>
    </row>
    <row r="40" spans="2:10" ht="17.399999999999999">
      <c r="B40" s="137" t="s">
        <v>119</v>
      </c>
      <c r="C40" s="187" t="s">
        <v>120</v>
      </c>
      <c r="D40" s="187"/>
      <c r="E40" s="187"/>
      <c r="F40" s="130"/>
      <c r="G40" s="138" t="s">
        <v>125</v>
      </c>
      <c r="H40" s="139"/>
    </row>
    <row r="41" spans="2:10" ht="18" thickBot="1">
      <c r="B41" s="140" t="s">
        <v>121</v>
      </c>
      <c r="C41" s="181" t="s">
        <v>123</v>
      </c>
      <c r="D41" s="181"/>
      <c r="E41" s="181"/>
      <c r="F41" s="123"/>
      <c r="G41" s="141" t="s">
        <v>126</v>
      </c>
      <c r="H41" s="142"/>
    </row>
    <row r="42" spans="2:10">
      <c r="C42" s="58"/>
      <c r="D42" s="75"/>
      <c r="E42" s="75"/>
      <c r="F42" s="58"/>
      <c r="G42" s="58"/>
      <c r="H42" s="58"/>
    </row>
    <row r="59" spans="2:10" ht="141.75" customHeight="1"/>
    <row r="60" spans="2:10">
      <c r="B60" s="199" t="s">
        <v>137</v>
      </c>
      <c r="C60" s="199"/>
      <c r="D60" s="199"/>
      <c r="E60" s="199"/>
      <c r="F60" s="199"/>
      <c r="G60" s="199"/>
      <c r="H60" s="199"/>
    </row>
    <row r="61" spans="2:10">
      <c r="B61" s="199"/>
      <c r="C61" s="199"/>
      <c r="D61" s="199"/>
      <c r="E61" s="199"/>
      <c r="F61" s="199"/>
      <c r="G61" s="199"/>
      <c r="H61" s="199"/>
    </row>
    <row r="62" spans="2:10" ht="9" customHeight="1">
      <c r="B62" s="112"/>
      <c r="C62" s="112"/>
      <c r="D62" s="112"/>
      <c r="E62" s="112"/>
      <c r="F62" s="112"/>
      <c r="G62" s="112"/>
      <c r="H62" s="112"/>
    </row>
    <row r="63" spans="2:10">
      <c r="B63" s="180" t="s">
        <v>101</v>
      </c>
      <c r="C63" s="180"/>
      <c r="D63" s="180"/>
      <c r="E63" s="180"/>
      <c r="F63" s="180"/>
      <c r="G63" s="180"/>
      <c r="H63" s="180"/>
      <c r="I63" s="72"/>
      <c r="J63" s="72"/>
    </row>
    <row r="64" spans="2:10">
      <c r="B64" s="180" t="s">
        <v>102</v>
      </c>
      <c r="C64" s="180"/>
      <c r="D64" s="180"/>
      <c r="E64" s="180"/>
      <c r="F64" s="180"/>
      <c r="G64" s="180"/>
      <c r="H64" s="180"/>
      <c r="I64" s="72"/>
      <c r="J64" s="72"/>
    </row>
  </sheetData>
  <sheetProtection algorithmName="SHA-512" hashValue="kFCEyN9GbjCNzaVABcJWlw6G/mFc1zomP53UT6FlzxYGnfOhU/mSkyHplequG6DpziNWRuT49J4XbdEeu4kq3w==" saltValue="f7A6ApvgtwDbqd803L7BBQ==" spinCount="100000" sheet="1" objects="1" scenarios="1" selectLockedCells="1" selectUnlockedCells="1"/>
  <mergeCells count="14">
    <mergeCell ref="B5:H5"/>
    <mergeCell ref="B13:H13"/>
    <mergeCell ref="B64:H64"/>
    <mergeCell ref="C41:E41"/>
    <mergeCell ref="B63:H63"/>
    <mergeCell ref="F14:H14"/>
    <mergeCell ref="F28:H28"/>
    <mergeCell ref="B37:H37"/>
    <mergeCell ref="C39:E39"/>
    <mergeCell ref="C40:E40"/>
    <mergeCell ref="F33:H34"/>
    <mergeCell ref="B33:D34"/>
    <mergeCell ref="B27:H27"/>
    <mergeCell ref="B60:H61"/>
  </mergeCells>
  <pageMargins left="0.7" right="0.7" top="0.75" bottom="0.75" header="0.3" footer="0.3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9A46-3D8A-4349-9C47-E766A9342E20}">
  <dimension ref="B1:P33"/>
  <sheetViews>
    <sheetView showGridLines="0" zoomScale="80" zoomScaleNormal="80" workbookViewId="0">
      <selection activeCell="E10" sqref="E10"/>
    </sheetView>
  </sheetViews>
  <sheetFormatPr defaultRowHeight="14.4"/>
  <cols>
    <col min="1" max="1" width="2.6640625" customWidth="1"/>
    <col min="2" max="2" width="12.33203125" customWidth="1"/>
    <col min="3" max="3" width="25.88671875" customWidth="1"/>
    <col min="4" max="4" width="20.6640625" customWidth="1"/>
    <col min="5" max="5" width="11.44140625" bestFit="1" customWidth="1"/>
    <col min="6" max="6" width="12.88671875" style="15" customWidth="1"/>
    <col min="7" max="7" width="11.44140625" customWidth="1"/>
    <col min="8" max="8" width="93.5546875" customWidth="1"/>
    <col min="9" max="9" width="11.5546875" customWidth="1"/>
  </cols>
  <sheetData>
    <row r="1" spans="2:16" ht="15" thickBot="1"/>
    <row r="2" spans="2:16">
      <c r="B2" s="2" t="s">
        <v>39</v>
      </c>
      <c r="C2" s="23" t="str">
        <f>IF(ISBLANK(Questions!$C$7),"",IF(Questions!$C$7="Law","Standard","Power"))</f>
        <v>Standard</v>
      </c>
      <c r="D2" s="13"/>
      <c r="F2" s="46"/>
      <c r="G2" s="14"/>
      <c r="H2" s="14"/>
      <c r="I2" s="14"/>
      <c r="J2" s="14"/>
    </row>
    <row r="3" spans="2:16">
      <c r="B3" s="8" t="s">
        <v>62</v>
      </c>
      <c r="C3" s="24">
        <f>Questions!$C$13</f>
        <v>4</v>
      </c>
      <c r="D3" s="13"/>
      <c r="F3" s="46"/>
      <c r="G3" s="14"/>
      <c r="H3" s="14"/>
      <c r="I3" s="14"/>
      <c r="P3" s="1"/>
    </row>
    <row r="4" spans="2:16">
      <c r="B4" s="8" t="s">
        <v>40</v>
      </c>
      <c r="C4" s="24">
        <f>Questions!$C$11</f>
        <v>5</v>
      </c>
      <c r="D4" s="13"/>
    </row>
    <row r="5" spans="2:16" ht="15" thickBot="1">
      <c r="B5" s="11" t="s">
        <v>43</v>
      </c>
      <c r="C5" s="25">
        <f>C4*12</f>
        <v>60</v>
      </c>
      <c r="I5" s="14"/>
    </row>
    <row r="6" spans="2:16">
      <c r="K6" s="15"/>
      <c r="L6" s="15"/>
    </row>
    <row r="7" spans="2:16" ht="15" thickBot="1">
      <c r="K7" s="15"/>
      <c r="L7" s="15"/>
    </row>
    <row r="8" spans="2:16" ht="15" thickBot="1">
      <c r="C8" s="26"/>
      <c r="D8" s="26" t="s">
        <v>55</v>
      </c>
      <c r="E8" s="27" t="s">
        <v>46</v>
      </c>
      <c r="F8" s="33" t="s">
        <v>58</v>
      </c>
      <c r="G8" s="40" t="s">
        <v>5</v>
      </c>
      <c r="H8" s="28" t="s">
        <v>57</v>
      </c>
      <c r="K8" s="15"/>
      <c r="L8" s="15"/>
    </row>
    <row r="9" spans="2:16">
      <c r="B9" s="14"/>
      <c r="C9" s="6" t="s">
        <v>0</v>
      </c>
      <c r="D9" s="34">
        <f>IF(C3&lt;10,6000,15000)</f>
        <v>6000</v>
      </c>
      <c r="E9" s="17">
        <f>D9</f>
        <v>6000</v>
      </c>
      <c r="F9" s="35">
        <v>1</v>
      </c>
      <c r="G9" s="41"/>
      <c r="H9" s="7" t="s">
        <v>66</v>
      </c>
      <c r="K9" s="15"/>
      <c r="L9" s="15"/>
    </row>
    <row r="10" spans="2:16">
      <c r="B10" s="14"/>
      <c r="C10" s="6" t="s">
        <v>52</v>
      </c>
      <c r="D10" s="34">
        <f>IF(Questions!C15="No",500,0)</f>
        <v>500</v>
      </c>
      <c r="E10" s="17">
        <f>D10*$C$3</f>
        <v>2000</v>
      </c>
      <c r="F10" s="35">
        <v>1</v>
      </c>
      <c r="G10" s="41"/>
      <c r="H10" s="7" t="s">
        <v>45</v>
      </c>
      <c r="K10" s="15"/>
      <c r="L10" s="15"/>
    </row>
    <row r="11" spans="2:16">
      <c r="B11" s="14"/>
      <c r="C11" s="6" t="s">
        <v>87</v>
      </c>
      <c r="D11" s="34">
        <f>16*200</f>
        <v>3200</v>
      </c>
      <c r="E11" s="17">
        <f t="shared" ref="E11:E15" si="0">D11</f>
        <v>3200</v>
      </c>
      <c r="F11" s="35">
        <v>1</v>
      </c>
      <c r="G11" s="41"/>
      <c r="H11" s="7" t="s">
        <v>49</v>
      </c>
      <c r="K11" s="15"/>
      <c r="L11" s="15"/>
    </row>
    <row r="12" spans="2:16">
      <c r="B12" s="14"/>
      <c r="C12" s="6" t="s">
        <v>51</v>
      </c>
      <c r="D12" s="36" t="str">
        <f>IF(C2="Power",1500,"N/A")</f>
        <v>N/A</v>
      </c>
      <c r="E12" s="19" t="str">
        <f>IF(ISERROR(D12*$C$4),"N/A",D12)</f>
        <v>N/A</v>
      </c>
      <c r="F12" s="35">
        <v>1</v>
      </c>
      <c r="G12" s="41"/>
      <c r="H12" s="7" t="s">
        <v>53</v>
      </c>
      <c r="K12" s="15"/>
      <c r="L12" s="15"/>
    </row>
    <row r="13" spans="2:16">
      <c r="B13" s="14"/>
      <c r="C13" s="6" t="str">
        <f>IF(C3&lt;10,"Back Up per mo (500GB)","Back Up per mo (1.5TB)")</f>
        <v>Back Up per mo (500GB)</v>
      </c>
      <c r="D13" s="34">
        <f>IF(C3&lt;10,100,300)</f>
        <v>100</v>
      </c>
      <c r="E13" s="17">
        <f>D13*$C$5</f>
        <v>6000</v>
      </c>
      <c r="F13" s="35" t="s">
        <v>59</v>
      </c>
      <c r="G13" s="41"/>
      <c r="H13" s="7" t="s">
        <v>54</v>
      </c>
      <c r="K13" s="15"/>
      <c r="L13" s="15"/>
    </row>
    <row r="14" spans="2:16">
      <c r="B14" s="14"/>
      <c r="C14" s="6" t="s">
        <v>48</v>
      </c>
      <c r="D14" s="34">
        <v>100</v>
      </c>
      <c r="E14" s="17">
        <f>D14*$C$4</f>
        <v>500</v>
      </c>
      <c r="F14" s="35" t="s">
        <v>59</v>
      </c>
      <c r="G14" s="41"/>
      <c r="H14" s="7" t="s">
        <v>128</v>
      </c>
      <c r="K14" s="15"/>
      <c r="L14" s="15"/>
    </row>
    <row r="15" spans="2:16">
      <c r="B15" s="14"/>
      <c r="C15" s="6" t="s">
        <v>1</v>
      </c>
      <c r="D15" s="34">
        <v>1000</v>
      </c>
      <c r="E15" s="17">
        <f t="shared" si="0"/>
        <v>1000</v>
      </c>
      <c r="F15" s="35">
        <v>1</v>
      </c>
      <c r="G15" s="41"/>
      <c r="H15" s="7" t="s">
        <v>44</v>
      </c>
      <c r="K15" s="15"/>
      <c r="L15" s="15"/>
    </row>
    <row r="16" spans="2:16">
      <c r="B16" s="14"/>
      <c r="C16" s="6" t="s">
        <v>88</v>
      </c>
      <c r="D16" s="37">
        <f>IF(Questions!$C$18&gt;0,Questions!$C$18,((1*150)+(50*$C$3)+(4*200)))</f>
        <v>1150</v>
      </c>
      <c r="E16" s="17">
        <f>D16*$C$5</f>
        <v>69000</v>
      </c>
      <c r="F16" s="35" t="s">
        <v>59</v>
      </c>
      <c r="G16" s="41"/>
      <c r="H16" s="7" t="s">
        <v>64</v>
      </c>
      <c r="K16" s="15"/>
      <c r="L16" s="15"/>
    </row>
    <row r="17" spans="2:12">
      <c r="B17" s="14"/>
      <c r="C17" s="6" t="s">
        <v>4</v>
      </c>
      <c r="D17" s="34">
        <v>20</v>
      </c>
      <c r="E17" s="17">
        <f>D17*$C$3*$C$5</f>
        <v>4800</v>
      </c>
      <c r="F17" s="35" t="s">
        <v>59</v>
      </c>
      <c r="G17" s="47">
        <v>20</v>
      </c>
      <c r="H17" s="7" t="s">
        <v>42</v>
      </c>
      <c r="K17" s="15"/>
      <c r="L17" s="15"/>
    </row>
    <row r="18" spans="2:12">
      <c r="B18" s="14"/>
      <c r="C18" s="6" t="s">
        <v>56</v>
      </c>
      <c r="D18" s="34">
        <v>60</v>
      </c>
      <c r="E18" s="17">
        <f>D18*$C$5</f>
        <v>3600</v>
      </c>
      <c r="F18" s="35" t="s">
        <v>59</v>
      </c>
      <c r="G18" s="41"/>
      <c r="H18" s="7"/>
      <c r="K18" s="15"/>
      <c r="L18" s="15"/>
    </row>
    <row r="19" spans="2:12">
      <c r="B19" s="14"/>
      <c r="C19" s="6" t="s">
        <v>91</v>
      </c>
      <c r="D19" s="34">
        <f>Questions!$C$9</f>
        <v>300</v>
      </c>
      <c r="E19" s="17">
        <f>D19*$C$5*$C$3*0.5</f>
        <v>36000</v>
      </c>
      <c r="F19" s="35" t="s">
        <v>59</v>
      </c>
      <c r="G19" s="41"/>
      <c r="H19" s="48" t="s">
        <v>65</v>
      </c>
      <c r="K19" s="15"/>
      <c r="L19" s="15"/>
    </row>
    <row r="20" spans="2:12">
      <c r="B20" s="14"/>
      <c r="C20" s="6" t="s">
        <v>6</v>
      </c>
      <c r="D20" s="8"/>
      <c r="E20" s="18"/>
      <c r="F20" s="35"/>
      <c r="G20" s="42">
        <f>IF(C2="",0,IF(C2="Standard",'Price Matrix'!$E$4,'Price Matrix'!$E$5))</f>
        <v>209</v>
      </c>
      <c r="H20" s="7"/>
      <c r="K20" s="15"/>
      <c r="L20" s="15"/>
    </row>
    <row r="21" spans="2:12">
      <c r="C21" s="6"/>
      <c r="D21" s="8"/>
      <c r="E21" s="29"/>
      <c r="F21" s="35"/>
      <c r="G21" s="43"/>
      <c r="H21" s="7"/>
    </row>
    <row r="22" spans="2:12">
      <c r="C22" s="6" t="s">
        <v>7</v>
      </c>
      <c r="D22" s="8"/>
      <c r="E22" s="17">
        <f>SUM(E9:E20)</f>
        <v>132100</v>
      </c>
      <c r="F22" s="38"/>
      <c r="G22" s="42">
        <f>(G20*$C$3*$C$5)+($G$17*$C$3*$C$5)</f>
        <v>54960</v>
      </c>
      <c r="H22" s="7"/>
    </row>
    <row r="23" spans="2:12" ht="15" thickBot="1">
      <c r="C23" s="20" t="s">
        <v>50</v>
      </c>
      <c r="D23" s="11"/>
      <c r="E23" s="21">
        <f>E22/$C$5</f>
        <v>2201.6666666666665</v>
      </c>
      <c r="F23" s="39"/>
      <c r="G23" s="44">
        <f>G22/$C$5</f>
        <v>916</v>
      </c>
      <c r="H23" s="22"/>
    </row>
    <row r="24" spans="2:12">
      <c r="H24" s="1"/>
    </row>
    <row r="26" spans="2:12">
      <c r="C26" s="14"/>
      <c r="D26" s="14"/>
      <c r="E26" s="14"/>
      <c r="F26" s="46"/>
    </row>
    <row r="28" spans="2:12">
      <c r="C28" s="16" t="s">
        <v>61</v>
      </c>
      <c r="D28" s="30" t="s">
        <v>60</v>
      </c>
      <c r="E28" s="45" t="s">
        <v>5</v>
      </c>
      <c r="F28" s="32" t="s">
        <v>105</v>
      </c>
      <c r="G28" s="31" t="s">
        <v>106</v>
      </c>
    </row>
    <row r="29" spans="2:12">
      <c r="C29">
        <v>1</v>
      </c>
      <c r="D29" s="1">
        <f>IF(D12="N/A",$E$9+$E$10+$E$11+($D$13*12)+$D$14+$E$15+($D$16*12)+($D$17*$C$3*12)+($D$18*12)+($D$19*$C$3*12*0.5),$E$9+$E$10+$E$11+$E$12+($D$13*12)+$D$14+$E$15+($D$16*12)+($D$17*$C$3*12)+($D$18*12)+($D$19*$C$3*12*0.5))</f>
        <v>36180</v>
      </c>
      <c r="E29" s="1">
        <f>$G$23*12</f>
        <v>10992</v>
      </c>
      <c r="F29" s="1">
        <f>D29</f>
        <v>36180</v>
      </c>
      <c r="G29" s="1">
        <f>E29</f>
        <v>10992</v>
      </c>
      <c r="H29" s="14"/>
    </row>
    <row r="30" spans="2:12">
      <c r="C30">
        <v>2</v>
      </c>
      <c r="D30" s="1">
        <f>($D$13*12)+$D$14+($D$16*12)+($D$17*$C$3*12)+($D$18*12)+($D$19*$C$3*12*0.5)</f>
        <v>23980</v>
      </c>
      <c r="E30" s="1">
        <f>$G$23*12</f>
        <v>10992</v>
      </c>
      <c r="F30" s="1">
        <f>F29+D30</f>
        <v>60160</v>
      </c>
      <c r="G30" s="1">
        <f>G29+E30</f>
        <v>21984</v>
      </c>
    </row>
    <row r="31" spans="2:12">
      <c r="C31">
        <v>3</v>
      </c>
      <c r="D31" s="1">
        <f t="shared" ref="D31:D33" si="1">($D$13*12)+$D$14+($D$16*12)+($D$17*$C$3*12)+($D$18*12)+($D$19*$C$3*12*0.5)</f>
        <v>23980</v>
      </c>
      <c r="E31" s="1">
        <f>$G$23*12</f>
        <v>10992</v>
      </c>
      <c r="F31" s="1">
        <f t="shared" ref="F31:F33" si="2">F30+D31</f>
        <v>84140</v>
      </c>
      <c r="G31" s="1">
        <f t="shared" ref="G31:G33" si="3">G30+E31</f>
        <v>32976</v>
      </c>
    </row>
    <row r="32" spans="2:12">
      <c r="C32">
        <v>4</v>
      </c>
      <c r="D32" s="1">
        <f t="shared" si="1"/>
        <v>23980</v>
      </c>
      <c r="E32" s="1">
        <f>$G$23*12</f>
        <v>10992</v>
      </c>
      <c r="F32" s="1">
        <f t="shared" si="2"/>
        <v>108120</v>
      </c>
      <c r="G32" s="1">
        <f t="shared" si="3"/>
        <v>43968</v>
      </c>
    </row>
    <row r="33" spans="3:7">
      <c r="C33">
        <v>5</v>
      </c>
      <c r="D33" s="1">
        <f t="shared" si="1"/>
        <v>23980</v>
      </c>
      <c r="E33" s="1">
        <f>$G$23*12</f>
        <v>10992</v>
      </c>
      <c r="F33" s="1">
        <f t="shared" si="2"/>
        <v>132100</v>
      </c>
      <c r="G33" s="1">
        <f t="shared" si="3"/>
        <v>54960</v>
      </c>
    </row>
  </sheetData>
  <dataValidations disablePrompts="1" count="1">
    <dataValidation type="list" allowBlank="1" showInputMessage="1" showErrorMessage="1" sqref="D2" xr:uid="{0DF3295F-DE0E-4229-8BDB-9A2820EB6433}">
      <formula1>"Standard,Power"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D5F9-9575-45B9-A420-4A2D32F12E07}">
  <sheetPr>
    <pageSetUpPr autoPageBreaks="0"/>
  </sheetPr>
  <dimension ref="B1:K39"/>
  <sheetViews>
    <sheetView showGridLines="0" zoomScaleNormal="100" workbookViewId="0">
      <selection activeCell="E4" sqref="E4"/>
    </sheetView>
  </sheetViews>
  <sheetFormatPr defaultRowHeight="14.4"/>
  <cols>
    <col min="2" max="2" width="32.6640625" customWidth="1"/>
    <col min="3" max="3" width="13.6640625" customWidth="1"/>
    <col min="4" max="4" width="10" bestFit="1" customWidth="1"/>
    <col min="5" max="5" width="13.6640625" customWidth="1"/>
    <col min="6" max="6" width="63.44140625" bestFit="1" customWidth="1"/>
  </cols>
  <sheetData>
    <row r="1" spans="2:11" ht="15" thickBot="1"/>
    <row r="2" spans="2:11" ht="28.8">
      <c r="B2" s="2"/>
      <c r="C2" s="3" t="s">
        <v>8</v>
      </c>
      <c r="D2" s="4" t="s">
        <v>9</v>
      </c>
      <c r="E2" s="5" t="s">
        <v>10</v>
      </c>
    </row>
    <row r="3" spans="2:11" ht="16.2">
      <c r="B3" s="6" t="s">
        <v>11</v>
      </c>
      <c r="E3" s="7"/>
      <c r="K3" t="s">
        <v>81</v>
      </c>
    </row>
    <row r="4" spans="2:11" ht="18">
      <c r="B4" s="8" t="s">
        <v>2</v>
      </c>
      <c r="C4" s="155">
        <v>189</v>
      </c>
      <c r="D4" s="145" t="s">
        <v>12</v>
      </c>
      <c r="E4" s="160">
        <f>229-20</f>
        <v>209</v>
      </c>
      <c r="F4" s="161" t="s">
        <v>138</v>
      </c>
      <c r="K4" s="50" t="s">
        <v>67</v>
      </c>
    </row>
    <row r="5" spans="2:11">
      <c r="B5" s="8" t="s">
        <v>3</v>
      </c>
      <c r="C5" s="155">
        <v>199</v>
      </c>
      <c r="D5" s="145" t="s">
        <v>12</v>
      </c>
      <c r="E5" s="160">
        <f>279-20</f>
        <v>259</v>
      </c>
      <c r="F5" s="161" t="s">
        <v>139</v>
      </c>
      <c r="K5" s="49" t="s">
        <v>68</v>
      </c>
    </row>
    <row r="6" spans="2:11">
      <c r="B6" s="8" t="s">
        <v>13</v>
      </c>
      <c r="C6" s="155">
        <v>259</v>
      </c>
      <c r="D6" s="145" t="s">
        <v>12</v>
      </c>
      <c r="E6" s="150">
        <v>309</v>
      </c>
      <c r="K6" s="49" t="s">
        <v>69</v>
      </c>
    </row>
    <row r="7" spans="2:11">
      <c r="B7" s="8" t="s">
        <v>14</v>
      </c>
      <c r="C7" s="155">
        <v>179</v>
      </c>
      <c r="D7" s="145" t="s">
        <v>12</v>
      </c>
      <c r="E7" s="150">
        <v>219</v>
      </c>
      <c r="K7" s="49" t="s">
        <v>70</v>
      </c>
    </row>
    <row r="8" spans="2:11" ht="3" customHeight="1">
      <c r="B8" s="8"/>
      <c r="C8" s="156"/>
      <c r="D8" s="147"/>
      <c r="E8" s="157"/>
      <c r="K8" s="49" t="s">
        <v>71</v>
      </c>
    </row>
    <row r="9" spans="2:11" ht="16.2">
      <c r="B9" s="6" t="s">
        <v>15</v>
      </c>
      <c r="C9" s="156"/>
      <c r="D9" s="147"/>
      <c r="E9" s="157"/>
      <c r="K9" s="49" t="s">
        <v>72</v>
      </c>
    </row>
    <row r="10" spans="2:11">
      <c r="B10" s="8" t="s">
        <v>2</v>
      </c>
      <c r="C10" s="155">
        <v>159</v>
      </c>
      <c r="D10" s="145" t="s">
        <v>12</v>
      </c>
      <c r="E10" s="150">
        <v>209</v>
      </c>
      <c r="K10" s="49" t="s">
        <v>73</v>
      </c>
    </row>
    <row r="11" spans="2:11">
      <c r="B11" s="8" t="s">
        <v>3</v>
      </c>
      <c r="C11" s="155">
        <v>179</v>
      </c>
      <c r="D11" s="145" t="s">
        <v>12</v>
      </c>
      <c r="E11" s="150">
        <v>209</v>
      </c>
      <c r="K11" s="49"/>
    </row>
    <row r="12" spans="2:11">
      <c r="B12" s="8" t="s">
        <v>13</v>
      </c>
      <c r="C12" s="155">
        <v>259</v>
      </c>
      <c r="D12" s="145" t="s">
        <v>12</v>
      </c>
      <c r="E12" s="150">
        <v>309</v>
      </c>
      <c r="K12" s="49" t="s">
        <v>74</v>
      </c>
    </row>
    <row r="13" spans="2:11">
      <c r="B13" s="8" t="s">
        <v>14</v>
      </c>
      <c r="C13" s="155">
        <v>159</v>
      </c>
      <c r="D13" s="145" t="s">
        <v>12</v>
      </c>
      <c r="E13" s="150">
        <v>179</v>
      </c>
      <c r="K13" s="49"/>
    </row>
    <row r="14" spans="2:11" ht="16.2" customHeight="1">
      <c r="B14" s="8"/>
      <c r="C14" s="145"/>
      <c r="D14" s="145"/>
      <c r="E14" s="146"/>
      <c r="K14" s="49"/>
    </row>
    <row r="15" spans="2:11" ht="18">
      <c r="B15" s="6" t="s">
        <v>16</v>
      </c>
      <c r="C15" s="145"/>
      <c r="D15" s="145"/>
      <c r="E15" s="146"/>
      <c r="K15" s="50" t="s">
        <v>75</v>
      </c>
    </row>
    <row r="16" spans="2:11">
      <c r="B16" s="8" t="s">
        <v>17</v>
      </c>
      <c r="C16" s="151">
        <v>239</v>
      </c>
      <c r="D16" s="151" t="s">
        <v>12</v>
      </c>
      <c r="E16" s="150">
        <v>279</v>
      </c>
      <c r="K16" s="49" t="s">
        <v>76</v>
      </c>
    </row>
    <row r="17" spans="2:11">
      <c r="B17" s="8" t="s">
        <v>18</v>
      </c>
      <c r="C17" s="151">
        <v>239</v>
      </c>
      <c r="D17" s="151" t="s">
        <v>12</v>
      </c>
      <c r="E17" s="150">
        <v>279</v>
      </c>
      <c r="K17" s="49" t="s">
        <v>77</v>
      </c>
    </row>
    <row r="18" spans="2:11">
      <c r="B18" s="8" t="s">
        <v>19</v>
      </c>
      <c r="C18" s="151">
        <v>249</v>
      </c>
      <c r="D18" s="151" t="s">
        <v>12</v>
      </c>
      <c r="E18" s="150">
        <v>329</v>
      </c>
      <c r="K18" s="49" t="s">
        <v>78</v>
      </c>
    </row>
    <row r="19" spans="2:11" ht="3" customHeight="1">
      <c r="B19" s="8"/>
      <c r="C19" s="151"/>
      <c r="D19" s="149"/>
      <c r="E19" s="150"/>
      <c r="K19" s="49" t="s">
        <v>79</v>
      </c>
    </row>
    <row r="20" spans="2:11">
      <c r="B20" s="6" t="s">
        <v>20</v>
      </c>
      <c r="C20" s="151"/>
      <c r="D20" s="149"/>
      <c r="E20" s="150"/>
      <c r="K20" s="49" t="s">
        <v>72</v>
      </c>
    </row>
    <row r="21" spans="2:11">
      <c r="B21" s="8" t="s">
        <v>21</v>
      </c>
      <c r="C21" s="151">
        <v>125</v>
      </c>
      <c r="D21" s="151" t="s">
        <v>12</v>
      </c>
      <c r="E21" s="150">
        <v>125</v>
      </c>
      <c r="K21" s="49"/>
    </row>
    <row r="22" spans="2:11">
      <c r="B22" s="8" t="s">
        <v>22</v>
      </c>
      <c r="C22" s="151">
        <v>40</v>
      </c>
      <c r="D22" s="151" t="s">
        <v>12</v>
      </c>
      <c r="E22" s="150">
        <v>40</v>
      </c>
      <c r="K22" s="49" t="s">
        <v>80</v>
      </c>
    </row>
    <row r="23" spans="2:11">
      <c r="B23" s="8" t="s">
        <v>23</v>
      </c>
      <c r="C23" s="153" t="s">
        <v>24</v>
      </c>
      <c r="D23" s="151" t="s">
        <v>12</v>
      </c>
      <c r="E23" s="154" t="s">
        <v>24</v>
      </c>
    </row>
    <row r="24" spans="2:11" ht="3" customHeight="1">
      <c r="B24" s="8"/>
      <c r="C24" s="152"/>
      <c r="D24" s="147"/>
      <c r="E24" s="148"/>
    </row>
    <row r="25" spans="2:11">
      <c r="B25" s="6" t="s">
        <v>25</v>
      </c>
      <c r="C25" s="152"/>
      <c r="D25" s="147"/>
      <c r="E25" s="148"/>
    </row>
    <row r="26" spans="2:11" ht="16.2">
      <c r="B26" s="8" t="s">
        <v>26</v>
      </c>
      <c r="C26" s="151">
        <v>49.99</v>
      </c>
      <c r="D26" s="151">
        <v>62.991</v>
      </c>
      <c r="E26" s="150">
        <v>69.989999999999995</v>
      </c>
    </row>
    <row r="27" spans="2:11">
      <c r="B27" s="8" t="s">
        <v>27</v>
      </c>
      <c r="C27" s="151">
        <v>59.99</v>
      </c>
      <c r="D27" s="151">
        <v>79.989999999999995</v>
      </c>
      <c r="E27" s="150">
        <v>87.99</v>
      </c>
    </row>
    <row r="28" spans="2:11" ht="16.2">
      <c r="B28" s="8" t="s">
        <v>28</v>
      </c>
      <c r="C28" s="151">
        <v>49.99</v>
      </c>
      <c r="D28" s="151">
        <v>62.99</v>
      </c>
      <c r="E28" s="150">
        <v>69.989999999999995</v>
      </c>
    </row>
    <row r="29" spans="2:11">
      <c r="B29" s="8" t="s">
        <v>29</v>
      </c>
      <c r="C29" s="151">
        <v>59.99</v>
      </c>
      <c r="D29" s="151">
        <v>79.989999999999995</v>
      </c>
      <c r="E29" s="150">
        <v>87.99</v>
      </c>
    </row>
    <row r="30" spans="2:11">
      <c r="B30" s="8" t="s">
        <v>30</v>
      </c>
      <c r="C30" s="151">
        <v>49.99</v>
      </c>
      <c r="D30" s="151">
        <v>62.99</v>
      </c>
      <c r="E30" s="150">
        <v>69.989999999999995</v>
      </c>
    </row>
    <row r="31" spans="2:11">
      <c r="B31" s="8" t="s">
        <v>31</v>
      </c>
      <c r="C31" s="151">
        <v>59.99</v>
      </c>
      <c r="D31" s="151">
        <v>79.989999999999995</v>
      </c>
      <c r="E31" s="150">
        <v>87.99</v>
      </c>
    </row>
    <row r="32" spans="2:11" ht="16.2">
      <c r="B32" s="8" t="s">
        <v>32</v>
      </c>
      <c r="C32" s="151">
        <v>49.99</v>
      </c>
      <c r="D32" s="151">
        <v>53.99</v>
      </c>
      <c r="E32" s="150">
        <v>59.99</v>
      </c>
    </row>
    <row r="33" spans="2:5">
      <c r="B33" s="8" t="s">
        <v>33</v>
      </c>
      <c r="C33" s="151">
        <v>59.99</v>
      </c>
      <c r="D33" s="151">
        <v>67.489999999999995</v>
      </c>
      <c r="E33" s="150">
        <v>74.989999999999995</v>
      </c>
    </row>
    <row r="34" spans="2:5" ht="15" thickBot="1">
      <c r="B34" s="11" t="s">
        <v>34</v>
      </c>
      <c r="C34" s="158">
        <v>49.99</v>
      </c>
      <c r="D34" s="158">
        <v>62.99</v>
      </c>
      <c r="E34" s="159">
        <v>69.989999999999995</v>
      </c>
    </row>
    <row r="35" spans="2:5" ht="9.6" customHeight="1">
      <c r="C35" s="10"/>
      <c r="D35" s="10"/>
      <c r="E35" s="9"/>
    </row>
    <row r="36" spans="2:5">
      <c r="B36" s="12" t="s">
        <v>35</v>
      </c>
    </row>
    <row r="37" spans="2:5">
      <c r="B37" s="12" t="s">
        <v>36</v>
      </c>
    </row>
    <row r="38" spans="2:5">
      <c r="B38" s="12" t="s">
        <v>37</v>
      </c>
    </row>
    <row r="39" spans="2:5">
      <c r="B39" s="12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Questions</vt:lpstr>
      <vt:lpstr>Presentation - Total Cost</vt:lpstr>
      <vt:lpstr>Presentation</vt:lpstr>
      <vt:lpstr>Calc</vt:lpstr>
      <vt:lpstr>Price Matrix</vt:lpstr>
      <vt:lpstr>Presentation!Print_Area</vt:lpstr>
      <vt:lpstr>'Presentation - 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Mills</dc:creator>
  <cp:lastModifiedBy>Jeff Mills</cp:lastModifiedBy>
  <cp:lastPrinted>2020-06-02T19:29:38Z</cp:lastPrinted>
  <dcterms:created xsi:type="dcterms:W3CDTF">2020-05-13T17:36:33Z</dcterms:created>
  <dcterms:modified xsi:type="dcterms:W3CDTF">2020-06-02T19:30:26Z</dcterms:modified>
</cp:coreProperties>
</file>